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c0e1b94ac231e164/바탕 화면/SCI paper/N2O-SO4/Science Advances/Submission/Global Change Biology/Resubmission/Major revision/"/>
    </mc:Choice>
  </mc:AlternateContent>
  <xr:revisionPtr revIDLastSave="44" documentId="13_ncr:1_{88669241-F35E-4501-9791-C7495603AC41}" xr6:coauthVersionLast="47" xr6:coauthVersionMax="47" xr10:uidLastSave="{21C5F935-C7C5-40BB-86F8-F95FD4C1D151}"/>
  <bookViews>
    <workbookView xWindow="-120" yWindow="-120" windowWidth="29040" windowHeight="17520" tabRatio="598" xr2:uid="{81016AB0-F10A-4777-8ADA-6325450F3D22}"/>
  </bookViews>
  <sheets>
    <sheet name="Literature Review" sheetId="2" r:id="rId1"/>
    <sheet name="Search Results" sheetId="3" r:id="rId2"/>
    <sheet name="Screening Procedure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V330" i="4" l="1"/>
  <c r="BH330" i="4"/>
  <c r="BV329" i="4"/>
  <c r="BH329" i="4"/>
  <c r="BV328" i="4"/>
  <c r="BH328" i="4"/>
  <c r="BV327" i="4"/>
  <c r="BH327" i="4"/>
  <c r="BV326" i="4"/>
  <c r="BH326" i="4"/>
  <c r="BV325" i="4"/>
  <c r="BH325" i="4"/>
  <c r="BV324" i="4"/>
  <c r="BH324" i="4"/>
  <c r="BV323" i="4"/>
  <c r="BH323" i="4"/>
  <c r="BV322" i="4"/>
  <c r="BH322" i="4"/>
  <c r="BV321" i="4"/>
  <c r="BH321" i="4"/>
  <c r="BV320" i="4"/>
  <c r="BH320" i="4"/>
  <c r="BV319" i="4"/>
  <c r="BH319" i="4"/>
  <c r="BV318" i="4"/>
  <c r="BH318" i="4"/>
  <c r="BV317" i="4"/>
  <c r="BH317" i="4"/>
  <c r="BV316" i="4"/>
  <c r="BH316" i="4"/>
  <c r="BV315" i="4"/>
  <c r="BH315" i="4"/>
  <c r="BV314" i="4"/>
  <c r="BH314" i="4"/>
  <c r="BV313" i="4"/>
  <c r="BH313" i="4"/>
  <c r="BV312" i="4"/>
  <c r="BH312" i="4"/>
  <c r="BV311" i="4"/>
  <c r="BV310" i="4"/>
  <c r="BH310" i="4"/>
  <c r="BV309" i="4"/>
  <c r="BH309" i="4"/>
  <c r="BV308" i="4"/>
  <c r="BH308" i="4"/>
  <c r="BV307" i="4"/>
  <c r="BH307" i="4"/>
  <c r="BV306" i="4"/>
  <c r="BH306" i="4"/>
  <c r="BV305" i="4"/>
  <c r="BH305" i="4"/>
  <c r="BV304" i="4"/>
  <c r="BH304" i="4"/>
  <c r="BV303" i="4"/>
  <c r="BH303" i="4"/>
  <c r="BV302" i="4"/>
  <c r="BH302" i="4"/>
  <c r="BV301" i="4"/>
  <c r="BH301" i="4"/>
  <c r="BV300" i="4"/>
  <c r="BH300" i="4"/>
  <c r="BV299" i="4"/>
  <c r="BH299" i="4"/>
  <c r="BV298" i="4"/>
  <c r="BH298" i="4"/>
  <c r="BV297" i="4"/>
  <c r="BH297" i="4"/>
  <c r="BV296" i="4"/>
  <c r="BH296" i="4"/>
  <c r="BV295" i="4"/>
  <c r="BV294" i="4"/>
  <c r="BH294" i="4"/>
  <c r="BV293" i="4"/>
  <c r="BH293" i="4"/>
  <c r="BV292" i="4"/>
  <c r="BH292" i="4"/>
  <c r="BV291" i="4"/>
  <c r="BH291" i="4"/>
  <c r="BV290" i="4"/>
  <c r="BH290" i="4"/>
  <c r="BV289" i="4"/>
  <c r="BH289" i="4"/>
  <c r="BV288" i="4"/>
  <c r="BV287" i="4"/>
  <c r="BH287" i="4"/>
  <c r="BV286" i="4"/>
  <c r="BH286" i="4"/>
  <c r="BV285" i="4"/>
  <c r="BH285" i="4"/>
  <c r="BV284" i="4"/>
  <c r="BH284" i="4"/>
  <c r="BV283" i="4"/>
  <c r="BH283" i="4"/>
  <c r="BV282" i="4"/>
  <c r="BH282" i="4"/>
  <c r="BV281" i="4"/>
  <c r="BH281" i="4"/>
  <c r="BV280" i="4"/>
  <c r="BH280" i="4"/>
  <c r="BV279" i="4"/>
  <c r="BH279" i="4"/>
  <c r="BV278" i="4"/>
  <c r="BH278" i="4"/>
  <c r="BV277" i="4"/>
  <c r="BH277" i="4"/>
  <c r="BV276" i="4"/>
  <c r="BH276" i="4"/>
  <c r="BV275" i="4"/>
  <c r="BH275" i="4"/>
  <c r="BV274" i="4"/>
  <c r="BH274" i="4"/>
  <c r="BV273" i="4"/>
  <c r="BH273" i="4"/>
  <c r="BV272" i="4"/>
  <c r="BH272" i="4"/>
  <c r="BV271" i="4"/>
  <c r="BH271" i="4"/>
  <c r="BV270" i="4"/>
  <c r="BH270" i="4"/>
  <c r="BV269" i="4"/>
  <c r="BH269" i="4"/>
  <c r="BV268" i="4"/>
  <c r="BH268" i="4"/>
  <c r="BV267" i="4"/>
  <c r="BH267" i="4"/>
  <c r="BV266" i="4"/>
  <c r="BH266" i="4"/>
  <c r="BV265" i="4"/>
  <c r="BH265" i="4"/>
  <c r="BV264" i="4"/>
  <c r="BH264" i="4"/>
  <c r="BV263" i="4"/>
  <c r="BH263" i="4"/>
  <c r="BV262" i="4"/>
  <c r="BV261" i="4"/>
  <c r="BH261" i="4"/>
  <c r="BV260" i="4"/>
  <c r="BH260" i="4"/>
  <c r="BV259" i="4"/>
  <c r="BH259" i="4"/>
  <c r="BV258" i="4"/>
  <c r="BH258" i="4"/>
  <c r="BV257" i="4"/>
  <c r="BV256" i="4"/>
  <c r="BH256" i="4"/>
  <c r="BV255" i="4"/>
  <c r="BH255" i="4"/>
  <c r="BV254" i="4"/>
  <c r="BH254" i="4"/>
  <c r="BV253" i="4"/>
  <c r="BH253" i="4"/>
  <c r="BV252" i="4"/>
  <c r="BH252" i="4"/>
  <c r="BV251" i="4"/>
  <c r="BH251" i="4"/>
  <c r="BV250" i="4"/>
  <c r="BH250" i="4"/>
  <c r="BV249" i="4"/>
  <c r="BH249" i="4"/>
  <c r="BV248" i="4"/>
  <c r="BH248" i="4"/>
  <c r="BV247" i="4"/>
  <c r="BH247" i="4"/>
  <c r="BV246" i="4"/>
  <c r="BH246" i="4"/>
  <c r="BV245" i="4"/>
  <c r="BH245" i="4"/>
  <c r="BV244" i="4"/>
  <c r="BH244" i="4"/>
  <c r="BV243" i="4"/>
  <c r="BH243" i="4"/>
  <c r="BV242" i="4"/>
  <c r="BH242" i="4"/>
  <c r="BV241" i="4"/>
  <c r="BH241" i="4"/>
  <c r="BV240" i="4"/>
  <c r="BH240" i="4"/>
  <c r="BV239" i="4"/>
  <c r="BH239" i="4"/>
  <c r="BV238" i="4"/>
  <c r="BH238" i="4"/>
  <c r="BV237" i="4"/>
  <c r="BH237" i="4"/>
  <c r="BV236" i="4"/>
  <c r="BH236" i="4"/>
  <c r="BV235" i="4"/>
  <c r="BH235" i="4"/>
  <c r="BV234" i="4"/>
  <c r="BH234" i="4"/>
  <c r="BV233" i="4"/>
  <c r="BH233" i="4"/>
  <c r="BV232" i="4"/>
  <c r="BH232" i="4"/>
  <c r="BV231" i="4"/>
  <c r="BH231" i="4"/>
  <c r="BV230" i="4"/>
  <c r="BH230" i="4"/>
  <c r="BV229" i="4"/>
  <c r="BH229" i="4"/>
  <c r="BV228" i="4"/>
  <c r="BH228" i="4"/>
  <c r="BV227" i="4"/>
  <c r="BH227" i="4"/>
  <c r="BV226" i="4"/>
  <c r="BH226" i="4"/>
  <c r="BV225" i="4"/>
  <c r="BH225" i="4"/>
  <c r="BV224" i="4"/>
  <c r="BH224" i="4"/>
  <c r="BV223" i="4"/>
  <c r="BH223" i="4"/>
  <c r="BV222" i="4"/>
  <c r="BH222" i="4"/>
  <c r="BV221" i="4"/>
  <c r="BH221" i="4"/>
  <c r="BV220" i="4"/>
  <c r="BH220" i="4"/>
  <c r="BV219" i="4"/>
  <c r="BH219" i="4"/>
  <c r="BV218" i="4"/>
  <c r="BV217" i="4"/>
  <c r="BH217" i="4"/>
  <c r="BV216" i="4"/>
  <c r="BH216" i="4"/>
  <c r="BV215" i="4"/>
  <c r="BH215" i="4"/>
  <c r="BV214" i="4"/>
  <c r="BH214" i="4"/>
  <c r="BV213" i="4"/>
  <c r="BH213" i="4"/>
  <c r="BV212" i="4"/>
  <c r="BH212" i="4"/>
  <c r="BV211" i="4"/>
  <c r="BH211" i="4"/>
  <c r="BV210" i="4"/>
  <c r="BH210" i="4"/>
  <c r="BV209" i="4"/>
  <c r="BH209" i="4"/>
  <c r="BV208" i="4"/>
  <c r="BH208" i="4"/>
  <c r="BV207" i="4"/>
  <c r="BH207" i="4"/>
  <c r="BV206" i="4"/>
  <c r="BH206" i="4"/>
  <c r="BV205" i="4"/>
  <c r="BH205" i="4"/>
  <c r="BV204" i="4"/>
  <c r="BH204" i="4"/>
  <c r="BV203" i="4"/>
  <c r="BH203" i="4"/>
  <c r="BV202" i="4"/>
  <c r="BH202" i="4"/>
  <c r="BV201" i="4"/>
  <c r="BH201" i="4"/>
  <c r="BV200" i="4"/>
  <c r="BH200" i="4"/>
  <c r="BV199" i="4"/>
  <c r="BH199" i="4"/>
  <c r="BV198" i="4"/>
  <c r="BH198" i="4"/>
  <c r="BV197" i="4"/>
  <c r="BH197" i="4"/>
  <c r="BV196" i="4"/>
  <c r="BH196" i="4"/>
  <c r="BV195" i="4"/>
  <c r="BH195" i="4"/>
  <c r="BV194" i="4"/>
  <c r="BH194" i="4"/>
  <c r="BV193" i="4"/>
  <c r="BH193" i="4"/>
  <c r="BV192" i="4"/>
  <c r="BH192" i="4"/>
  <c r="BV191" i="4"/>
  <c r="BH191" i="4"/>
  <c r="BV190" i="4"/>
  <c r="BH190" i="4"/>
  <c r="BV189" i="4"/>
  <c r="BH189" i="4"/>
  <c r="BV188" i="4"/>
  <c r="BH188" i="4"/>
  <c r="BV187" i="4"/>
  <c r="BH187" i="4"/>
  <c r="BV186" i="4"/>
  <c r="BH186" i="4"/>
  <c r="BV185" i="4"/>
  <c r="BH185" i="4"/>
  <c r="BV184" i="4"/>
  <c r="BH184" i="4"/>
  <c r="BV183" i="4"/>
  <c r="BH183" i="4"/>
  <c r="BV182" i="4"/>
  <c r="BH182" i="4"/>
  <c r="BV181" i="4"/>
  <c r="BH181" i="4"/>
  <c r="BV180" i="4"/>
  <c r="BH180" i="4"/>
  <c r="BV179" i="4"/>
  <c r="BH179" i="4"/>
  <c r="BV178" i="4"/>
  <c r="BH178" i="4"/>
  <c r="BV177" i="4"/>
  <c r="BH177" i="4"/>
  <c r="BV176" i="4"/>
  <c r="BH176" i="4"/>
  <c r="BV175" i="4"/>
  <c r="BH175" i="4"/>
  <c r="BV174" i="4"/>
  <c r="BH174" i="4"/>
  <c r="BV173" i="4"/>
  <c r="BH173" i="4"/>
  <c r="BV172" i="4"/>
  <c r="BH172" i="4"/>
  <c r="BV171" i="4"/>
  <c r="BH171" i="4"/>
  <c r="BV170" i="4"/>
  <c r="BH170" i="4"/>
  <c r="BV169" i="4"/>
  <c r="BH169" i="4"/>
  <c r="BV168" i="4"/>
  <c r="BH168" i="4"/>
  <c r="BV167" i="4"/>
  <c r="BH167" i="4"/>
  <c r="BV166" i="4"/>
  <c r="BV165" i="4"/>
  <c r="BH165" i="4"/>
  <c r="BV164" i="4"/>
  <c r="BH164" i="4"/>
  <c r="BV163" i="4"/>
  <c r="BH163" i="4"/>
  <c r="BV162" i="4"/>
  <c r="BH162" i="4"/>
  <c r="BV161" i="4"/>
  <c r="BH161" i="4"/>
  <c r="BV160" i="4"/>
  <c r="BH160" i="4"/>
  <c r="BV159" i="4"/>
  <c r="BH159" i="4"/>
  <c r="BV158" i="4"/>
  <c r="BH158" i="4"/>
  <c r="BV157" i="4"/>
  <c r="BH157" i="4"/>
  <c r="BV156" i="4"/>
  <c r="BH156" i="4"/>
  <c r="BV155" i="4"/>
  <c r="BH155" i="4"/>
  <c r="BV154" i="4"/>
  <c r="BV153" i="4"/>
  <c r="BH153" i="4"/>
  <c r="BV152" i="4"/>
  <c r="BH152" i="4"/>
  <c r="BV151" i="4"/>
  <c r="BH151" i="4"/>
  <c r="BV150" i="4"/>
  <c r="BH150" i="4"/>
  <c r="BV149" i="4"/>
  <c r="BH149" i="4"/>
  <c r="BV148" i="4"/>
  <c r="BH148" i="4"/>
  <c r="BV147" i="4"/>
  <c r="BH147" i="4"/>
  <c r="BV146" i="4"/>
  <c r="BV145" i="4"/>
  <c r="BH145" i="4"/>
  <c r="BV144" i="4"/>
  <c r="BH144" i="4"/>
  <c r="BV143" i="4"/>
  <c r="BH143" i="4"/>
  <c r="BV142" i="4"/>
  <c r="BH142" i="4"/>
  <c r="BV141" i="4"/>
  <c r="BH141" i="4"/>
  <c r="BV140" i="4"/>
  <c r="BH140" i="4"/>
  <c r="BV139" i="4"/>
  <c r="BH139" i="4"/>
  <c r="BV138" i="4"/>
  <c r="BH138" i="4"/>
  <c r="BV137" i="4"/>
  <c r="BH137" i="4"/>
  <c r="BV136" i="4"/>
  <c r="BH136" i="4"/>
  <c r="BV135" i="4"/>
  <c r="BH135" i="4"/>
  <c r="BV134" i="4"/>
  <c r="BH134" i="4"/>
  <c r="BV133" i="4"/>
  <c r="BH133" i="4"/>
  <c r="BV132" i="4"/>
  <c r="BH132" i="4"/>
  <c r="BV131" i="4"/>
  <c r="BH131" i="4"/>
  <c r="BV130" i="4"/>
  <c r="BH130" i="4"/>
  <c r="BV129" i="4"/>
  <c r="BH129" i="4"/>
  <c r="BV128" i="4"/>
  <c r="BH128" i="4"/>
  <c r="BV127" i="4"/>
  <c r="BH127" i="4"/>
  <c r="BV126" i="4"/>
  <c r="BH126" i="4"/>
  <c r="BV125" i="4"/>
  <c r="BH125" i="4"/>
  <c r="BV124" i="4"/>
  <c r="BH124" i="4"/>
  <c r="BV123" i="4"/>
  <c r="BH123" i="4"/>
  <c r="BV122" i="4"/>
  <c r="BH122" i="4"/>
  <c r="BV121" i="4"/>
  <c r="BH121" i="4"/>
  <c r="BV120" i="4"/>
  <c r="BH120" i="4"/>
  <c r="BV119" i="4"/>
  <c r="BH119" i="4"/>
  <c r="BV118" i="4"/>
  <c r="BH118" i="4"/>
  <c r="BV117" i="4"/>
  <c r="BH117" i="4"/>
  <c r="BV116" i="4"/>
  <c r="BH116" i="4"/>
  <c r="BV115" i="4"/>
  <c r="BH115" i="4"/>
  <c r="BV114" i="4"/>
  <c r="BH114" i="4"/>
  <c r="BV113" i="4"/>
  <c r="BH113" i="4"/>
  <c r="BV112" i="4"/>
  <c r="BH112" i="4"/>
  <c r="BV111" i="4"/>
  <c r="BH111" i="4"/>
  <c r="BV110" i="4"/>
  <c r="BH110" i="4"/>
  <c r="BV109" i="4"/>
  <c r="BH109" i="4"/>
  <c r="BV108" i="4"/>
  <c r="BV107" i="4"/>
  <c r="BH107" i="4"/>
  <c r="BV106" i="4"/>
  <c r="BH106" i="4"/>
  <c r="BV105" i="4"/>
  <c r="BH105" i="4"/>
  <c r="BV104" i="4"/>
  <c r="BH104" i="4"/>
  <c r="BV103" i="4"/>
  <c r="BH103" i="4"/>
  <c r="BV102" i="4"/>
  <c r="BH102" i="4"/>
  <c r="BV101" i="4"/>
  <c r="BH101" i="4"/>
  <c r="BV100" i="4"/>
  <c r="BH100" i="4"/>
  <c r="BV99" i="4"/>
  <c r="BH99" i="4"/>
  <c r="BV98" i="4"/>
  <c r="BH98" i="4"/>
  <c r="BV97" i="4"/>
  <c r="BH97" i="4"/>
  <c r="BV96" i="4"/>
  <c r="BH96" i="4"/>
  <c r="BV95" i="4"/>
  <c r="BH95" i="4"/>
  <c r="BV94" i="4"/>
  <c r="BH94" i="4"/>
  <c r="BV93" i="4"/>
  <c r="BH93" i="4"/>
  <c r="BV92" i="4"/>
  <c r="BH92" i="4"/>
  <c r="BV91" i="4"/>
  <c r="BH91" i="4"/>
  <c r="BV90" i="4"/>
  <c r="BH90" i="4"/>
  <c r="BV89" i="4"/>
  <c r="BH89" i="4"/>
  <c r="BV88" i="4"/>
  <c r="BH88" i="4"/>
  <c r="BV87" i="4"/>
  <c r="BH87" i="4"/>
  <c r="BV86" i="4"/>
  <c r="BH86" i="4"/>
  <c r="BV85" i="4"/>
  <c r="BH85" i="4"/>
  <c r="BV84" i="4"/>
  <c r="BH84" i="4"/>
  <c r="BV83" i="4"/>
  <c r="BH83" i="4"/>
  <c r="BV82" i="4"/>
  <c r="BH82" i="4"/>
  <c r="BV81" i="4"/>
  <c r="BH81" i="4"/>
  <c r="BV80" i="4"/>
  <c r="BH80" i="4"/>
  <c r="BV79" i="4"/>
  <c r="BH79" i="4"/>
  <c r="BV78" i="4"/>
  <c r="BH78" i="4"/>
  <c r="BV77" i="4"/>
  <c r="BH77" i="4"/>
  <c r="BV76" i="4"/>
  <c r="BH76" i="4"/>
  <c r="BV75" i="4"/>
  <c r="BH75" i="4"/>
  <c r="BV74" i="4"/>
  <c r="BH74" i="4"/>
  <c r="BV73" i="4"/>
  <c r="BV72" i="4"/>
  <c r="BH72" i="4"/>
  <c r="BV71" i="4"/>
  <c r="BH71" i="4"/>
  <c r="BV70" i="4"/>
  <c r="BH70" i="4"/>
  <c r="BV69" i="4"/>
  <c r="BH69" i="4"/>
  <c r="BV68" i="4"/>
  <c r="BH68" i="4"/>
  <c r="BV67" i="4"/>
  <c r="BH67" i="4"/>
  <c r="BV66" i="4"/>
  <c r="BH66" i="4"/>
  <c r="BV65" i="4"/>
  <c r="BH65" i="4"/>
  <c r="BV64" i="4"/>
  <c r="BH64" i="4"/>
  <c r="BV63" i="4"/>
  <c r="BH63" i="4"/>
  <c r="BV62" i="4"/>
  <c r="BH62" i="4"/>
  <c r="BV61" i="4"/>
  <c r="BH61" i="4"/>
  <c r="BV60" i="4"/>
  <c r="BH60" i="4"/>
  <c r="BV59" i="4"/>
  <c r="BH59" i="4"/>
  <c r="BV58" i="4"/>
  <c r="BH58" i="4"/>
  <c r="BV57" i="4"/>
  <c r="BH57" i="4"/>
  <c r="BV56" i="4"/>
  <c r="BH56" i="4"/>
  <c r="BV55" i="4"/>
  <c r="BH55" i="4"/>
  <c r="BV54" i="4"/>
  <c r="BH54" i="4"/>
  <c r="BV53" i="4"/>
  <c r="BH53" i="4"/>
  <c r="BV52" i="4"/>
  <c r="BH52" i="4"/>
  <c r="BV51" i="4"/>
  <c r="BH51" i="4"/>
  <c r="BV50" i="4"/>
  <c r="BH50" i="4"/>
  <c r="BV49" i="4"/>
  <c r="BH49" i="4"/>
  <c r="BV48" i="4"/>
  <c r="BH48" i="4"/>
  <c r="BV47" i="4"/>
  <c r="BH47" i="4"/>
  <c r="BV46" i="4"/>
  <c r="BH46" i="4"/>
  <c r="BV45" i="4"/>
  <c r="BH45" i="4"/>
  <c r="BV44" i="4"/>
  <c r="BH44" i="4"/>
  <c r="BV43" i="4"/>
  <c r="BH43" i="4"/>
  <c r="BV42" i="4"/>
  <c r="BH42" i="4"/>
  <c r="BV41" i="4"/>
  <c r="BH41" i="4"/>
  <c r="BV40" i="4"/>
  <c r="BH40" i="4"/>
  <c r="BV39" i="4"/>
  <c r="BH39" i="4"/>
  <c r="BV38" i="4"/>
  <c r="BH38" i="4"/>
  <c r="BV37" i="4"/>
  <c r="BH37" i="4"/>
  <c r="BV36" i="4"/>
  <c r="BH36" i="4"/>
  <c r="BV35" i="4"/>
  <c r="BH35" i="4"/>
  <c r="BV34" i="4"/>
  <c r="BH34" i="4"/>
  <c r="BV33" i="4"/>
  <c r="BH33" i="4"/>
  <c r="BV32" i="4"/>
  <c r="BH32" i="4"/>
  <c r="BV31" i="4"/>
  <c r="BH31" i="4"/>
  <c r="BV30" i="4"/>
  <c r="BH30" i="4"/>
  <c r="BV29" i="4"/>
  <c r="BH29" i="4"/>
  <c r="BV28" i="4"/>
  <c r="BH28" i="4"/>
  <c r="BV27" i="4"/>
  <c r="BH27" i="4"/>
  <c r="BV26" i="4"/>
  <c r="BH26" i="4"/>
  <c r="BV25" i="4"/>
  <c r="BH25" i="4"/>
  <c r="BV24" i="4"/>
  <c r="BH24" i="4"/>
  <c r="BV23" i="4"/>
  <c r="BH23" i="4"/>
  <c r="BV22" i="4"/>
  <c r="BH22" i="4"/>
  <c r="BV21" i="4"/>
  <c r="BH21" i="4"/>
  <c r="BV20" i="4"/>
  <c r="BH20" i="4"/>
  <c r="BV19" i="4"/>
  <c r="BH19" i="4"/>
  <c r="BV18" i="4"/>
  <c r="BH18" i="4"/>
  <c r="BV17" i="4"/>
  <c r="BH17" i="4"/>
  <c r="BV16" i="4"/>
  <c r="BH16" i="4"/>
  <c r="BV15" i="4"/>
  <c r="BH15" i="4"/>
  <c r="BV14" i="4"/>
  <c r="BH14" i="4"/>
  <c r="BV13" i="4"/>
  <c r="BH13" i="4"/>
  <c r="BV12" i="4"/>
  <c r="BH12" i="4"/>
  <c r="BV11" i="4"/>
  <c r="BH11" i="4"/>
  <c r="BV10" i="4"/>
  <c r="BH10" i="4"/>
  <c r="BV9" i="4"/>
  <c r="BH9" i="4"/>
  <c r="BV8" i="4"/>
  <c r="BH8" i="4"/>
  <c r="BV7" i="4"/>
  <c r="BH7" i="4"/>
  <c r="BV6" i="4"/>
  <c r="BH6" i="4"/>
  <c r="BV5" i="4"/>
  <c r="BH5" i="4"/>
  <c r="BV4" i="4"/>
  <c r="BH4" i="4"/>
  <c r="BV3" i="4"/>
  <c r="BH3" i="4"/>
  <c r="BV2" i="4"/>
  <c r="BH2" i="4"/>
  <c r="BT330" i="3"/>
  <c r="BF330" i="3"/>
  <c r="BT329" i="3"/>
  <c r="BF329" i="3"/>
  <c r="BT328" i="3"/>
  <c r="BF328" i="3"/>
  <c r="BT327" i="3"/>
  <c r="BF327" i="3"/>
  <c r="BT326" i="3"/>
  <c r="BF326" i="3"/>
  <c r="BT325" i="3"/>
  <c r="BF325" i="3"/>
  <c r="BT324" i="3"/>
  <c r="BF324" i="3"/>
  <c r="BT323" i="3"/>
  <c r="BF323" i="3"/>
  <c r="BT322" i="3"/>
  <c r="BF322" i="3"/>
  <c r="BT321" i="3"/>
  <c r="BF321" i="3"/>
  <c r="BT320" i="3"/>
  <c r="BF320" i="3"/>
  <c r="BT319" i="3"/>
  <c r="BF319" i="3"/>
  <c r="BT318" i="3"/>
  <c r="BF318" i="3"/>
  <c r="BT317" i="3"/>
  <c r="BF317" i="3"/>
  <c r="BT316" i="3"/>
  <c r="BF316" i="3"/>
  <c r="BT315" i="3"/>
  <c r="BF315" i="3"/>
  <c r="BT314" i="3"/>
  <c r="BF314" i="3"/>
  <c r="BT313" i="3"/>
  <c r="BF313" i="3"/>
  <c r="BT312" i="3"/>
  <c r="BF312" i="3"/>
  <c r="BT311" i="3"/>
  <c r="BT310" i="3"/>
  <c r="BF310" i="3"/>
  <c r="BT309" i="3"/>
  <c r="BF309" i="3"/>
  <c r="BT308" i="3"/>
  <c r="BF308" i="3"/>
  <c r="BT307" i="3"/>
  <c r="BF307" i="3"/>
  <c r="BT306" i="3"/>
  <c r="BF306" i="3"/>
  <c r="BT305" i="3"/>
  <c r="BF305" i="3"/>
  <c r="BT304" i="3"/>
  <c r="BF304" i="3"/>
  <c r="BT303" i="3"/>
  <c r="BF303" i="3"/>
  <c r="BT302" i="3"/>
  <c r="BF302" i="3"/>
  <c r="BT301" i="3"/>
  <c r="BF301" i="3"/>
  <c r="BT300" i="3"/>
  <c r="BF300" i="3"/>
  <c r="BT299" i="3"/>
  <c r="BF299" i="3"/>
  <c r="BT298" i="3"/>
  <c r="BF298" i="3"/>
  <c r="BT297" i="3"/>
  <c r="BF297" i="3"/>
  <c r="BT296" i="3"/>
  <c r="BF296" i="3"/>
  <c r="BT295" i="3"/>
  <c r="BT294" i="3"/>
  <c r="BF294" i="3"/>
  <c r="BT293" i="3"/>
  <c r="BF293" i="3"/>
  <c r="BT292" i="3"/>
  <c r="BF292" i="3"/>
  <c r="BT291" i="3"/>
  <c r="BF291" i="3"/>
  <c r="BT290" i="3"/>
  <c r="BF290" i="3"/>
  <c r="BT289" i="3"/>
  <c r="BF289" i="3"/>
  <c r="BT288" i="3"/>
  <c r="BT287" i="3"/>
  <c r="BF287" i="3"/>
  <c r="BT286" i="3"/>
  <c r="BF286" i="3"/>
  <c r="BT285" i="3"/>
  <c r="BF285" i="3"/>
  <c r="BT284" i="3"/>
  <c r="BF284" i="3"/>
  <c r="BT283" i="3"/>
  <c r="BF283" i="3"/>
  <c r="BT282" i="3"/>
  <c r="BF282" i="3"/>
  <c r="BT281" i="3"/>
  <c r="BF281" i="3"/>
  <c r="BT280" i="3"/>
  <c r="BF280" i="3"/>
  <c r="BT279" i="3"/>
  <c r="BF279" i="3"/>
  <c r="BT278" i="3"/>
  <c r="BF278" i="3"/>
  <c r="BT277" i="3"/>
  <c r="BF277" i="3"/>
  <c r="BT276" i="3"/>
  <c r="BF276" i="3"/>
  <c r="BT275" i="3"/>
  <c r="BF275" i="3"/>
  <c r="BT274" i="3"/>
  <c r="BF274" i="3"/>
  <c r="BT273" i="3"/>
  <c r="BF273" i="3"/>
  <c r="BT272" i="3"/>
  <c r="BF272" i="3"/>
  <c r="BT271" i="3"/>
  <c r="BF271" i="3"/>
  <c r="BT270" i="3"/>
  <c r="BF270" i="3"/>
  <c r="BT269" i="3"/>
  <c r="BF269" i="3"/>
  <c r="BT268" i="3"/>
  <c r="BF268" i="3"/>
  <c r="BT267" i="3"/>
  <c r="BF267" i="3"/>
  <c r="BT266" i="3"/>
  <c r="BF266" i="3"/>
  <c r="BT265" i="3"/>
  <c r="BF265" i="3"/>
  <c r="BT264" i="3"/>
  <c r="BF264" i="3"/>
  <c r="BT263" i="3"/>
  <c r="BF263" i="3"/>
  <c r="BT262" i="3"/>
  <c r="BT261" i="3"/>
  <c r="BF261" i="3"/>
  <c r="BT260" i="3"/>
  <c r="BF260" i="3"/>
  <c r="BT259" i="3"/>
  <c r="BF259" i="3"/>
  <c r="BT258" i="3"/>
  <c r="BF258" i="3"/>
  <c r="BT257" i="3"/>
  <c r="BT256" i="3"/>
  <c r="BF256" i="3"/>
  <c r="BT255" i="3"/>
  <c r="BF255" i="3"/>
  <c r="BT254" i="3"/>
  <c r="BF254" i="3"/>
  <c r="BT253" i="3"/>
  <c r="BF253" i="3"/>
  <c r="BT252" i="3"/>
  <c r="BF252" i="3"/>
  <c r="BT251" i="3"/>
  <c r="BF251" i="3"/>
  <c r="BT250" i="3"/>
  <c r="BF250" i="3"/>
  <c r="BT249" i="3"/>
  <c r="BF249" i="3"/>
  <c r="BT248" i="3"/>
  <c r="BF248" i="3"/>
  <c r="BT247" i="3"/>
  <c r="BF247" i="3"/>
  <c r="BT246" i="3"/>
  <c r="BF246" i="3"/>
  <c r="BT245" i="3"/>
  <c r="BF245" i="3"/>
  <c r="BT244" i="3"/>
  <c r="BF244" i="3"/>
  <c r="BT243" i="3"/>
  <c r="BF243" i="3"/>
  <c r="BT242" i="3"/>
  <c r="BF242" i="3"/>
  <c r="BT241" i="3"/>
  <c r="BF241" i="3"/>
  <c r="BT240" i="3"/>
  <c r="BF240" i="3"/>
  <c r="BT239" i="3"/>
  <c r="BF239" i="3"/>
  <c r="BT238" i="3"/>
  <c r="BF238" i="3"/>
  <c r="BT237" i="3"/>
  <c r="BF237" i="3"/>
  <c r="BT236" i="3"/>
  <c r="BF236" i="3"/>
  <c r="BT235" i="3"/>
  <c r="BF235" i="3"/>
  <c r="BT234" i="3"/>
  <c r="BF234" i="3"/>
  <c r="BT233" i="3"/>
  <c r="BF233" i="3"/>
  <c r="BT232" i="3"/>
  <c r="BF232" i="3"/>
  <c r="BT231" i="3"/>
  <c r="BF231" i="3"/>
  <c r="BT230" i="3"/>
  <c r="BF230" i="3"/>
  <c r="BT229" i="3"/>
  <c r="BF229" i="3"/>
  <c r="BT228" i="3"/>
  <c r="BF228" i="3"/>
  <c r="BT227" i="3"/>
  <c r="BF227" i="3"/>
  <c r="BT226" i="3"/>
  <c r="BF226" i="3"/>
  <c r="BT225" i="3"/>
  <c r="BF225" i="3"/>
  <c r="BT224" i="3"/>
  <c r="BF224" i="3"/>
  <c r="BT223" i="3"/>
  <c r="BF223" i="3"/>
  <c r="BT222" i="3"/>
  <c r="BF222" i="3"/>
  <c r="BT221" i="3"/>
  <c r="BF221" i="3"/>
  <c r="BT220" i="3"/>
  <c r="BF220" i="3"/>
  <c r="BT219" i="3"/>
  <c r="BF219" i="3"/>
  <c r="BT218" i="3"/>
  <c r="BT217" i="3"/>
  <c r="BF217" i="3"/>
  <c r="BT216" i="3"/>
  <c r="BF216" i="3"/>
  <c r="BT215" i="3"/>
  <c r="BF215" i="3"/>
  <c r="BT214" i="3"/>
  <c r="BF214" i="3"/>
  <c r="BT213" i="3"/>
  <c r="BF213" i="3"/>
  <c r="BT212" i="3"/>
  <c r="BF212" i="3"/>
  <c r="BT211" i="3"/>
  <c r="BF211" i="3"/>
  <c r="BT210" i="3"/>
  <c r="BF210" i="3"/>
  <c r="BT209" i="3"/>
  <c r="BF209" i="3"/>
  <c r="BT208" i="3"/>
  <c r="BF208" i="3"/>
  <c r="BT207" i="3"/>
  <c r="BF207" i="3"/>
  <c r="BT206" i="3"/>
  <c r="BF206" i="3"/>
  <c r="BT205" i="3"/>
  <c r="BF205" i="3"/>
  <c r="BT204" i="3"/>
  <c r="BF204" i="3"/>
  <c r="BT203" i="3"/>
  <c r="BF203" i="3"/>
  <c r="BT202" i="3"/>
  <c r="BF202" i="3"/>
  <c r="BT201" i="3"/>
  <c r="BF201" i="3"/>
  <c r="BT200" i="3"/>
  <c r="BF200" i="3"/>
  <c r="BT199" i="3"/>
  <c r="BF199" i="3"/>
  <c r="BT198" i="3"/>
  <c r="BF198" i="3"/>
  <c r="BT197" i="3"/>
  <c r="BF197" i="3"/>
  <c r="BT196" i="3"/>
  <c r="BF196" i="3"/>
  <c r="BT195" i="3"/>
  <c r="BF195" i="3"/>
  <c r="BT194" i="3"/>
  <c r="BF194" i="3"/>
  <c r="BT193" i="3"/>
  <c r="BF193" i="3"/>
  <c r="BT192" i="3"/>
  <c r="BF192" i="3"/>
  <c r="BT191" i="3"/>
  <c r="BF191" i="3"/>
  <c r="BT190" i="3"/>
  <c r="BF190" i="3"/>
  <c r="BT189" i="3"/>
  <c r="BF189" i="3"/>
  <c r="BT188" i="3"/>
  <c r="BF188" i="3"/>
  <c r="BT187" i="3"/>
  <c r="BF187" i="3"/>
  <c r="BT186" i="3"/>
  <c r="BF186" i="3"/>
  <c r="BT185" i="3"/>
  <c r="BF185" i="3"/>
  <c r="BT184" i="3"/>
  <c r="BF184" i="3"/>
  <c r="BT183" i="3"/>
  <c r="BF183" i="3"/>
  <c r="BT182" i="3"/>
  <c r="BF182" i="3"/>
  <c r="BT181" i="3"/>
  <c r="BF181" i="3"/>
  <c r="BT180" i="3"/>
  <c r="BF180" i="3"/>
  <c r="BT179" i="3"/>
  <c r="BF179" i="3"/>
  <c r="BT178" i="3"/>
  <c r="BF178" i="3"/>
  <c r="BT177" i="3"/>
  <c r="BF177" i="3"/>
  <c r="BT176" i="3"/>
  <c r="BF176" i="3"/>
  <c r="BT175" i="3"/>
  <c r="BF175" i="3"/>
  <c r="BT174" i="3"/>
  <c r="BF174" i="3"/>
  <c r="BT173" i="3"/>
  <c r="BF173" i="3"/>
  <c r="BT172" i="3"/>
  <c r="BF172" i="3"/>
  <c r="BT171" i="3"/>
  <c r="BF171" i="3"/>
  <c r="BT170" i="3"/>
  <c r="BF170" i="3"/>
  <c r="BT169" i="3"/>
  <c r="BF169" i="3"/>
  <c r="BT168" i="3"/>
  <c r="BF168" i="3"/>
  <c r="BT167" i="3"/>
  <c r="BF167" i="3"/>
  <c r="BT166" i="3"/>
  <c r="BT165" i="3"/>
  <c r="BF165" i="3"/>
  <c r="BT164" i="3"/>
  <c r="BF164" i="3"/>
  <c r="BT163" i="3"/>
  <c r="BF163" i="3"/>
  <c r="BT162" i="3"/>
  <c r="BF162" i="3"/>
  <c r="BT161" i="3"/>
  <c r="BF161" i="3"/>
  <c r="BT160" i="3"/>
  <c r="BF160" i="3"/>
  <c r="BT159" i="3"/>
  <c r="BF159" i="3"/>
  <c r="BT158" i="3"/>
  <c r="BF158" i="3"/>
  <c r="BT157" i="3"/>
  <c r="BF157" i="3"/>
  <c r="BT156" i="3"/>
  <c r="BF156" i="3"/>
  <c r="BT155" i="3"/>
  <c r="BF155" i="3"/>
  <c r="BT154" i="3"/>
  <c r="BT153" i="3"/>
  <c r="BF153" i="3"/>
  <c r="BT152" i="3"/>
  <c r="BF152" i="3"/>
  <c r="BT151" i="3"/>
  <c r="BF151" i="3"/>
  <c r="BT150" i="3"/>
  <c r="BF150" i="3"/>
  <c r="BT149" i="3"/>
  <c r="BF149" i="3"/>
  <c r="BT148" i="3"/>
  <c r="BF148" i="3"/>
  <c r="BT147" i="3"/>
  <c r="BF147" i="3"/>
  <c r="BT146" i="3"/>
  <c r="BT145" i="3"/>
  <c r="BF145" i="3"/>
  <c r="BT144" i="3"/>
  <c r="BF144" i="3"/>
  <c r="BT143" i="3"/>
  <c r="BF143" i="3"/>
  <c r="BT142" i="3"/>
  <c r="BF142" i="3"/>
  <c r="BT141" i="3"/>
  <c r="BF141" i="3"/>
  <c r="BT140" i="3"/>
  <c r="BF140" i="3"/>
  <c r="BT139" i="3"/>
  <c r="BF139" i="3"/>
  <c r="BT138" i="3"/>
  <c r="BF138" i="3"/>
  <c r="BT137" i="3"/>
  <c r="BF137" i="3"/>
  <c r="BT136" i="3"/>
  <c r="BF136" i="3"/>
  <c r="BT135" i="3"/>
  <c r="BF135" i="3"/>
  <c r="BT134" i="3"/>
  <c r="BF134" i="3"/>
  <c r="BT133" i="3"/>
  <c r="BF133" i="3"/>
  <c r="BT132" i="3"/>
  <c r="BF132" i="3"/>
  <c r="BT131" i="3"/>
  <c r="BF131" i="3"/>
  <c r="BT130" i="3"/>
  <c r="BF130" i="3"/>
  <c r="BT129" i="3"/>
  <c r="BF129" i="3"/>
  <c r="BT128" i="3"/>
  <c r="BF128" i="3"/>
  <c r="BT127" i="3"/>
  <c r="BF127" i="3"/>
  <c r="BT126" i="3"/>
  <c r="BF126" i="3"/>
  <c r="BT125" i="3"/>
  <c r="BF125" i="3"/>
  <c r="BT124" i="3"/>
  <c r="BF124" i="3"/>
  <c r="BT123" i="3"/>
  <c r="BF123" i="3"/>
  <c r="BT122" i="3"/>
  <c r="BF122" i="3"/>
  <c r="BT121" i="3"/>
  <c r="BF121" i="3"/>
  <c r="BT120" i="3"/>
  <c r="BF120" i="3"/>
  <c r="BT119" i="3"/>
  <c r="BF119" i="3"/>
  <c r="BT118" i="3"/>
  <c r="BF118" i="3"/>
  <c r="BT117" i="3"/>
  <c r="BF117" i="3"/>
  <c r="BT116" i="3"/>
  <c r="BF116" i="3"/>
  <c r="BT115" i="3"/>
  <c r="BF115" i="3"/>
  <c r="BT114" i="3"/>
  <c r="BF114" i="3"/>
  <c r="BT113" i="3"/>
  <c r="BF113" i="3"/>
  <c r="BT112" i="3"/>
  <c r="BF112" i="3"/>
  <c r="BT111" i="3"/>
  <c r="BF111" i="3"/>
  <c r="BT110" i="3"/>
  <c r="BF110" i="3"/>
  <c r="BT109" i="3"/>
  <c r="BF109" i="3"/>
  <c r="BT108" i="3"/>
  <c r="BT107" i="3"/>
  <c r="BF107" i="3"/>
  <c r="BT106" i="3"/>
  <c r="BF106" i="3"/>
  <c r="BT105" i="3"/>
  <c r="BF105" i="3"/>
  <c r="BT104" i="3"/>
  <c r="BF104" i="3"/>
  <c r="BT103" i="3"/>
  <c r="BF103" i="3"/>
  <c r="BT102" i="3"/>
  <c r="BF102" i="3"/>
  <c r="BT101" i="3"/>
  <c r="BF101" i="3"/>
  <c r="BT100" i="3"/>
  <c r="BF100" i="3"/>
  <c r="BT99" i="3"/>
  <c r="BF99" i="3"/>
  <c r="BT98" i="3"/>
  <c r="BF98" i="3"/>
  <c r="BT97" i="3"/>
  <c r="BF97" i="3"/>
  <c r="BT96" i="3"/>
  <c r="BF96" i="3"/>
  <c r="BT95" i="3"/>
  <c r="BF95" i="3"/>
  <c r="BT94" i="3"/>
  <c r="BF94" i="3"/>
  <c r="BT93" i="3"/>
  <c r="BF93" i="3"/>
  <c r="BT92" i="3"/>
  <c r="BF92" i="3"/>
  <c r="BT91" i="3"/>
  <c r="BF91" i="3"/>
  <c r="BT90" i="3"/>
  <c r="BF90" i="3"/>
  <c r="BT89" i="3"/>
  <c r="BF89" i="3"/>
  <c r="BT88" i="3"/>
  <c r="BF88" i="3"/>
  <c r="BT87" i="3"/>
  <c r="BF87" i="3"/>
  <c r="BT86" i="3"/>
  <c r="BF86" i="3"/>
  <c r="BT85" i="3"/>
  <c r="BF85" i="3"/>
  <c r="BT84" i="3"/>
  <c r="BF84" i="3"/>
  <c r="BT83" i="3"/>
  <c r="BF83" i="3"/>
  <c r="BT82" i="3"/>
  <c r="BF82" i="3"/>
  <c r="BT81" i="3"/>
  <c r="BF81" i="3"/>
  <c r="BT80" i="3"/>
  <c r="BF80" i="3"/>
  <c r="BT79" i="3"/>
  <c r="BF79" i="3"/>
  <c r="BT78" i="3"/>
  <c r="BF78" i="3"/>
  <c r="BT77" i="3"/>
  <c r="BF77" i="3"/>
  <c r="BT76" i="3"/>
  <c r="BF76" i="3"/>
  <c r="BT75" i="3"/>
  <c r="BF75" i="3"/>
  <c r="BT74" i="3"/>
  <c r="BF74" i="3"/>
  <c r="BT73" i="3"/>
  <c r="BT72" i="3"/>
  <c r="BF72" i="3"/>
  <c r="BT71" i="3"/>
  <c r="BF71" i="3"/>
  <c r="BT70" i="3"/>
  <c r="BF70" i="3"/>
  <c r="BT69" i="3"/>
  <c r="BF69" i="3"/>
  <c r="BT68" i="3"/>
  <c r="BF68" i="3"/>
  <c r="BT67" i="3"/>
  <c r="BF67" i="3"/>
  <c r="BT66" i="3"/>
  <c r="BF66" i="3"/>
  <c r="BT65" i="3"/>
  <c r="BF65" i="3"/>
  <c r="BT64" i="3"/>
  <c r="BF64" i="3"/>
  <c r="BT63" i="3"/>
  <c r="BF63" i="3"/>
  <c r="BT62" i="3"/>
  <c r="BF62" i="3"/>
  <c r="BT61" i="3"/>
  <c r="BF61" i="3"/>
  <c r="BT60" i="3"/>
  <c r="BF60" i="3"/>
  <c r="BT59" i="3"/>
  <c r="BF59" i="3"/>
  <c r="BT58" i="3"/>
  <c r="BF58" i="3"/>
  <c r="BT57" i="3"/>
  <c r="BF57" i="3"/>
  <c r="BT56" i="3"/>
  <c r="BF56" i="3"/>
  <c r="BT55" i="3"/>
  <c r="BF55" i="3"/>
  <c r="BT54" i="3"/>
  <c r="BF54" i="3"/>
  <c r="BT53" i="3"/>
  <c r="BF53" i="3"/>
  <c r="BT52" i="3"/>
  <c r="BF52" i="3"/>
  <c r="BT51" i="3"/>
  <c r="BF51" i="3"/>
  <c r="BT50" i="3"/>
  <c r="BF50" i="3"/>
  <c r="BT49" i="3"/>
  <c r="BF49" i="3"/>
  <c r="BT48" i="3"/>
  <c r="BF48" i="3"/>
  <c r="BT47" i="3"/>
  <c r="BF47" i="3"/>
  <c r="BT46" i="3"/>
  <c r="BF46" i="3"/>
  <c r="BT45" i="3"/>
  <c r="BF45" i="3"/>
  <c r="BT44" i="3"/>
  <c r="BF44" i="3"/>
  <c r="BT43" i="3"/>
  <c r="BF43" i="3"/>
  <c r="BT42" i="3"/>
  <c r="BF42" i="3"/>
  <c r="BT41" i="3"/>
  <c r="BF41" i="3"/>
  <c r="BT40" i="3"/>
  <c r="BF40" i="3"/>
  <c r="BT39" i="3"/>
  <c r="BF39" i="3"/>
  <c r="BT38" i="3"/>
  <c r="BF38" i="3"/>
  <c r="BT37" i="3"/>
  <c r="BF37" i="3"/>
  <c r="BT36" i="3"/>
  <c r="BF36" i="3"/>
  <c r="BT35" i="3"/>
  <c r="BF35" i="3"/>
  <c r="BT34" i="3"/>
  <c r="BF34" i="3"/>
  <c r="BT33" i="3"/>
  <c r="BF33" i="3"/>
  <c r="BT32" i="3"/>
  <c r="BF32" i="3"/>
  <c r="BT31" i="3"/>
  <c r="BF31" i="3"/>
  <c r="BT30" i="3"/>
  <c r="BF30" i="3"/>
  <c r="BT29" i="3"/>
  <c r="BF29" i="3"/>
  <c r="BT28" i="3"/>
  <c r="BF28" i="3"/>
  <c r="BT27" i="3"/>
  <c r="BF27" i="3"/>
  <c r="BT26" i="3"/>
  <c r="BF26" i="3"/>
  <c r="BT25" i="3"/>
  <c r="BF25" i="3"/>
  <c r="BT24" i="3"/>
  <c r="BF24" i="3"/>
  <c r="BT23" i="3"/>
  <c r="BF23" i="3"/>
  <c r="BT22" i="3"/>
  <c r="BF22" i="3"/>
  <c r="BT21" i="3"/>
  <c r="BF21" i="3"/>
  <c r="BT20" i="3"/>
  <c r="BF20" i="3"/>
  <c r="BT19" i="3"/>
  <c r="BF19" i="3"/>
  <c r="BT18" i="3"/>
  <c r="BF18" i="3"/>
  <c r="BT17" i="3"/>
  <c r="BF17" i="3"/>
  <c r="BT16" i="3"/>
  <c r="BF16" i="3"/>
  <c r="BT15" i="3"/>
  <c r="BF15" i="3"/>
  <c r="BT14" i="3"/>
  <c r="BF14" i="3"/>
  <c r="BT13" i="3"/>
  <c r="BF13" i="3"/>
  <c r="BT12" i="3"/>
  <c r="BF12" i="3"/>
  <c r="BT11" i="3"/>
  <c r="BF11" i="3"/>
  <c r="BT10" i="3"/>
  <c r="BF10" i="3"/>
  <c r="BT9" i="3"/>
  <c r="BF9" i="3"/>
  <c r="BT8" i="3"/>
  <c r="BF8" i="3"/>
  <c r="BT7" i="3"/>
  <c r="BF7" i="3"/>
  <c r="BT6" i="3"/>
  <c r="BF6" i="3"/>
  <c r="BT5" i="3"/>
  <c r="BF5" i="3"/>
  <c r="BT4" i="3"/>
  <c r="BF4" i="3"/>
  <c r="BT3" i="3"/>
  <c r="BF3" i="3"/>
  <c r="BT2" i="3"/>
  <c r="BF2" i="3"/>
  <c r="AE76" i="2"/>
  <c r="AB76" i="2"/>
  <c r="AA76" i="2"/>
  <c r="AE75" i="2"/>
  <c r="AB75" i="2"/>
  <c r="AA75" i="2"/>
  <c r="AE74" i="2"/>
  <c r="AB74" i="2"/>
  <c r="AA74" i="2"/>
  <c r="AE73" i="2"/>
  <c r="AB73" i="2"/>
  <c r="AA73" i="2"/>
  <c r="AE72" i="2"/>
  <c r="AB72" i="2"/>
  <c r="AA72" i="2"/>
  <c r="AE71" i="2"/>
  <c r="AB71" i="2"/>
  <c r="AA71" i="2"/>
  <c r="AE70" i="2"/>
  <c r="AB70" i="2"/>
  <c r="AA70" i="2"/>
  <c r="AE69" i="2"/>
  <c r="AB69" i="2"/>
  <c r="AA69" i="2"/>
  <c r="AE68" i="2"/>
  <c r="AB68" i="2"/>
  <c r="AA68" i="2"/>
  <c r="AE67" i="2"/>
  <c r="AB67" i="2"/>
  <c r="AA67" i="2"/>
  <c r="AE66" i="2"/>
  <c r="AB66" i="2"/>
  <c r="AA66" i="2"/>
  <c r="AE65" i="2"/>
  <c r="AB65" i="2"/>
  <c r="AA65" i="2"/>
  <c r="AE15" i="2"/>
  <c r="AB15" i="2"/>
  <c r="AA15" i="2"/>
  <c r="AE14" i="2"/>
  <c r="AB14" i="2"/>
  <c r="AA14" i="2"/>
  <c r="AE13" i="2"/>
  <c r="AB13" i="2"/>
  <c r="AA13" i="2"/>
  <c r="AE12" i="2"/>
  <c r="AB12" i="2"/>
  <c r="AA12" i="2"/>
  <c r="AE11" i="2"/>
  <c r="AB11" i="2"/>
  <c r="AA11" i="2"/>
  <c r="AE10" i="2"/>
  <c r="AB10" i="2"/>
  <c r="AA10" i="2"/>
  <c r="AE9" i="2"/>
  <c r="AB9" i="2"/>
  <c r="AA9" i="2"/>
  <c r="AE8" i="2"/>
  <c r="AB8" i="2"/>
  <c r="AA8" i="2"/>
  <c r="AE7" i="2"/>
  <c r="AB7" i="2"/>
  <c r="AA7" i="2"/>
  <c r="AE6" i="2"/>
  <c r="AB6" i="2"/>
  <c r="AA6" i="2"/>
  <c r="AE16" i="2"/>
  <c r="AB16" i="2"/>
  <c r="AA16" i="2"/>
  <c r="AD34" i="2"/>
  <c r="AB34" i="2"/>
  <c r="AA34" i="2"/>
  <c r="AA32" i="2"/>
  <c r="AB32" i="2"/>
  <c r="AD32" i="2"/>
  <c r="AE27" i="2"/>
  <c r="AE28" i="2"/>
  <c r="AE29" i="2"/>
  <c r="AE30" i="2"/>
  <c r="AE31" i="2"/>
  <c r="AB27" i="2"/>
  <c r="AB28" i="2"/>
  <c r="AB29" i="2"/>
  <c r="AB30" i="2"/>
  <c r="AB31" i="2"/>
  <c r="AA31" i="2"/>
  <c r="AA29" i="2"/>
  <c r="AA27" i="2"/>
  <c r="AE25" i="2"/>
  <c r="AE24" i="2"/>
  <c r="AB24" i="2"/>
  <c r="AB25" i="2"/>
  <c r="AA24" i="2"/>
  <c r="AA25" i="2"/>
  <c r="AB42" i="2"/>
  <c r="AB43" i="2"/>
  <c r="AB44" i="2"/>
  <c r="AB45" i="2"/>
  <c r="AB46" i="2"/>
  <c r="AB47" i="2"/>
  <c r="AB48" i="2"/>
  <c r="AB49" i="2"/>
  <c r="AB50" i="2"/>
  <c r="AB51" i="2"/>
  <c r="AB52" i="2"/>
  <c r="AB53" i="2"/>
  <c r="AB54" i="2"/>
  <c r="AB55" i="2"/>
  <c r="AB56" i="2"/>
  <c r="AB57" i="2"/>
  <c r="AB58" i="2"/>
  <c r="AB59" i="2"/>
  <c r="AB60" i="2"/>
  <c r="AB61" i="2"/>
  <c r="AA42" i="2"/>
  <c r="AA43" i="2"/>
  <c r="AA44" i="2"/>
  <c r="AA45" i="2"/>
  <c r="AA46" i="2"/>
  <c r="AA47" i="2"/>
  <c r="AA48" i="2"/>
  <c r="AA49" i="2"/>
  <c r="AA50" i="2"/>
  <c r="AA51" i="2"/>
  <c r="AA52" i="2"/>
  <c r="AA53" i="2"/>
  <c r="AA54" i="2"/>
  <c r="AA55" i="2"/>
  <c r="AA56" i="2"/>
  <c r="AA57" i="2"/>
  <c r="AA58" i="2"/>
  <c r="AA59" i="2"/>
  <c r="AA60" i="2"/>
  <c r="AA61" i="2"/>
  <c r="AE60" i="2"/>
  <c r="AE61" i="2"/>
  <c r="AE59" i="2"/>
  <c r="AE58" i="2"/>
  <c r="AE57" i="2"/>
  <c r="AE56" i="2"/>
  <c r="AE55" i="2"/>
  <c r="AE54" i="2"/>
  <c r="AE53" i="2"/>
  <c r="AE52" i="2"/>
  <c r="AE51" i="2"/>
  <c r="AE50" i="2"/>
  <c r="AE49" i="2"/>
  <c r="AE48" i="2"/>
  <c r="AE47" i="2"/>
  <c r="AE46" i="2"/>
  <c r="AE45" i="2"/>
  <c r="AE42" i="2"/>
  <c r="AE43" i="2"/>
  <c r="AE44" i="2"/>
  <c r="AA23" i="2"/>
  <c r="AB23" i="2"/>
  <c r="AE23" i="2"/>
  <c r="AA19" i="2"/>
  <c r="AE62" i="2"/>
  <c r="AE63" i="2"/>
  <c r="AA62" i="2"/>
  <c r="AB62" i="2"/>
  <c r="AA63" i="2"/>
  <c r="AB63" i="2"/>
  <c r="AA39" i="2"/>
  <c r="AA40" i="2"/>
  <c r="AA41" i="2"/>
  <c r="AA64" i="2"/>
  <c r="AB40" i="2"/>
  <c r="AB41" i="2"/>
  <c r="AB64" i="2"/>
  <c r="AE41" i="2"/>
  <c r="AE64" i="2"/>
  <c r="AB3" i="2"/>
  <c r="AB4" i="2"/>
  <c r="AB5" i="2"/>
  <c r="AB17" i="2"/>
  <c r="AB18" i="2"/>
  <c r="AB19" i="2"/>
  <c r="AB20" i="2"/>
  <c r="AB21" i="2"/>
  <c r="AB22" i="2"/>
  <c r="AB26" i="2"/>
  <c r="AB33" i="2"/>
  <c r="AB35" i="2"/>
  <c r="AB36" i="2"/>
  <c r="AB37" i="2"/>
  <c r="AB38" i="2"/>
  <c r="AB39" i="2"/>
  <c r="AA3" i="2"/>
  <c r="AA80" i="2" s="1"/>
  <c r="AA4" i="2"/>
  <c r="AA5" i="2"/>
  <c r="AA17" i="2"/>
  <c r="AA18" i="2"/>
  <c r="AA20" i="2"/>
  <c r="AA21" i="2"/>
  <c r="AA22" i="2"/>
  <c r="AA26" i="2"/>
  <c r="AA28" i="2"/>
  <c r="AA30" i="2"/>
  <c r="AA33" i="2"/>
  <c r="AA35" i="2"/>
  <c r="AA36" i="2"/>
  <c r="AA37" i="2"/>
  <c r="AA38" i="2"/>
  <c r="AD33" i="2"/>
  <c r="AE35" i="2"/>
  <c r="AE37" i="2"/>
  <c r="AE38" i="2"/>
  <c r="AE39" i="2"/>
  <c r="AE40" i="2"/>
  <c r="AE36" i="2"/>
  <c r="AE3" i="2"/>
  <c r="AE4" i="2"/>
  <c r="AE5" i="2"/>
  <c r="AE17" i="2"/>
  <c r="AE18" i="2"/>
  <c r="AE19" i="2"/>
  <c r="AE20" i="2"/>
  <c r="AE21" i="2"/>
  <c r="AE22" i="2"/>
  <c r="AE26" i="2"/>
  <c r="L3" i="2"/>
  <c r="AA81" i="2" l="1"/>
</calcChain>
</file>

<file path=xl/sharedStrings.xml><?xml version="1.0" encoding="utf-8"?>
<sst xmlns="http://schemas.openxmlformats.org/spreadsheetml/2006/main" count="44477" uniqueCount="2868">
  <si>
    <t>Observation No.</t>
    <phoneticPr fontId="3" type="noConversion"/>
  </si>
  <si>
    <t>Article No.</t>
    <phoneticPr fontId="3" type="noConversion"/>
  </si>
  <si>
    <t>Article title</t>
    <phoneticPr fontId="3" type="noConversion"/>
  </si>
  <si>
    <t>Reference</t>
  </si>
  <si>
    <t>Publication year</t>
    <phoneticPr fontId="3" type="noConversion"/>
  </si>
  <si>
    <t>Experimental location</t>
    <phoneticPr fontId="3" type="noConversion"/>
  </si>
  <si>
    <t>Experiment year</t>
    <phoneticPr fontId="3" type="noConversion"/>
  </si>
  <si>
    <t>Replicate</t>
  </si>
  <si>
    <t>Conventional N application rates</t>
    <phoneticPr fontId="3" type="noConversion"/>
  </si>
  <si>
    <t>Crop yield with conventional NF</t>
    <phoneticPr fontId="3" type="noConversion"/>
  </si>
  <si>
    <t>Selected N application rates</t>
    <phoneticPr fontId="3" type="noConversion"/>
  </si>
  <si>
    <t>yield</t>
  </si>
  <si>
    <t>yield_sd</t>
  </si>
  <si>
    <t>UNIT</t>
    <phoneticPr fontId="3" type="noConversion"/>
  </si>
  <si>
    <t>Response ratio</t>
  </si>
  <si>
    <t>Total Nitrogen</t>
    <phoneticPr fontId="3" type="noConversion"/>
  </si>
  <si>
    <t>Total carbon</t>
    <phoneticPr fontId="3" type="noConversion"/>
  </si>
  <si>
    <t>OM</t>
    <phoneticPr fontId="3" type="noConversion"/>
  </si>
  <si>
    <t>First author</t>
    <phoneticPr fontId="3" type="noConversion"/>
  </si>
  <si>
    <t>N</t>
  </si>
  <si>
    <t>E</t>
  </si>
  <si>
    <t>kg N/ha</t>
  </si>
  <si>
    <t>Mean value</t>
    <phoneticPr fontId="3" type="noConversion"/>
  </si>
  <si>
    <t>S.D.</t>
    <phoneticPr fontId="3" type="noConversion"/>
  </si>
  <si>
    <t>Unit</t>
    <phoneticPr fontId="3" type="noConversion"/>
  </si>
  <si>
    <t>단위</t>
  </si>
  <si>
    <t>g/kg</t>
  </si>
  <si>
    <t>g/kg</t>
    <phoneticPr fontId="3" type="noConversion"/>
  </si>
  <si>
    <t>Carrot</t>
    <phoneticPr fontId="2" type="noConversion"/>
  </si>
  <si>
    <t>kg N/ha</t>
    <phoneticPr fontId="2" type="noConversion"/>
  </si>
  <si>
    <t>Maize</t>
    <phoneticPr fontId="2" type="noConversion"/>
  </si>
  <si>
    <r>
      <t>The type of SO</t>
    </r>
    <r>
      <rPr>
        <b/>
        <vertAlign val="subscript"/>
        <sz val="11"/>
        <rFont val="맑은 고딕"/>
        <family val="3"/>
        <charset val="129"/>
      </rPr>
      <t>4</t>
    </r>
    <r>
      <rPr>
        <b/>
        <vertAlign val="superscript"/>
        <sz val="11"/>
        <rFont val="맑은 고딕"/>
        <family val="3"/>
        <charset val="129"/>
      </rPr>
      <t>2-</t>
    </r>
    <r>
      <rPr>
        <b/>
        <sz val="11"/>
        <rFont val="맑은 고딕"/>
        <family val="3"/>
        <charset val="129"/>
      </rPr>
      <t xml:space="preserve"> material</t>
    </r>
    <phoneticPr fontId="2" type="noConversion"/>
  </si>
  <si>
    <r>
      <t>The SO</t>
    </r>
    <r>
      <rPr>
        <b/>
        <vertAlign val="subscript"/>
        <sz val="11"/>
        <rFont val="맑은 고딕"/>
        <family val="3"/>
        <charset val="129"/>
      </rPr>
      <t>4</t>
    </r>
    <r>
      <rPr>
        <b/>
        <vertAlign val="superscript"/>
        <sz val="11"/>
        <rFont val="맑은 고딕"/>
        <family val="3"/>
        <charset val="129"/>
      </rPr>
      <t>2-</t>
    </r>
    <r>
      <rPr>
        <b/>
        <sz val="11"/>
        <rFont val="맑은 고딕"/>
        <family val="3"/>
        <charset val="129"/>
      </rPr>
      <t xml:space="preserve"> application rate</t>
    </r>
    <phoneticPr fontId="2" type="noConversion"/>
  </si>
  <si>
    <t>Crop type</t>
    <phoneticPr fontId="3" type="noConversion"/>
  </si>
  <si>
    <r>
      <t>N</t>
    </r>
    <r>
      <rPr>
        <b/>
        <vertAlign val="subscript"/>
        <sz val="11"/>
        <rFont val="맑은 고딕"/>
        <family val="3"/>
        <charset val="129"/>
      </rPr>
      <t>2</t>
    </r>
    <r>
      <rPr>
        <b/>
        <sz val="11"/>
        <rFont val="맑은 고딕"/>
        <family val="3"/>
        <charset val="129"/>
      </rPr>
      <t>O</t>
    </r>
    <phoneticPr fontId="3" type="noConversion"/>
  </si>
  <si>
    <t>Ammonium sulfate</t>
    <phoneticPr fontId="2" type="noConversion"/>
  </si>
  <si>
    <t>kg/ha</t>
    <phoneticPr fontId="2" type="noConversion"/>
  </si>
  <si>
    <t>Li, X</t>
    <phoneticPr fontId="2" type="noConversion"/>
  </si>
  <si>
    <t>35°47'</t>
    <phoneticPr fontId="2" type="noConversion"/>
  </si>
  <si>
    <t>139°54'</t>
    <phoneticPr fontId="2" type="noConversion"/>
  </si>
  <si>
    <t>Hoang Thi Thai Hoa</t>
  </si>
  <si>
    <t>16°28'2''</t>
    <phoneticPr fontId="2" type="noConversion"/>
  </si>
  <si>
    <t>107°31'2''</t>
    <phoneticPr fontId="2" type="noConversion"/>
  </si>
  <si>
    <t>16°36'56''</t>
    <phoneticPr fontId="2" type="noConversion"/>
  </si>
  <si>
    <t>107°28'14''</t>
    <phoneticPr fontId="2" type="noConversion"/>
  </si>
  <si>
    <t>Lettuce</t>
    <phoneticPr fontId="2" type="noConversion"/>
  </si>
  <si>
    <t>g N/ha</t>
    <phoneticPr fontId="2" type="noConversion"/>
  </si>
  <si>
    <t>t/ha</t>
    <phoneticPr fontId="2" type="noConversion"/>
  </si>
  <si>
    <t>N2O and CH4 emission and CH4 consumption in a sugarcane soil after variation in nitrogen and water application</t>
  </si>
  <si>
    <t>Weier, KL</t>
  </si>
  <si>
    <t>18.7(S)</t>
    <phoneticPr fontId="2" type="noConversion"/>
  </si>
  <si>
    <t>Sugarcane</t>
    <phoneticPr fontId="2" type="noConversion"/>
  </si>
  <si>
    <t>Nitrous oxide and methane emissions from soil and nitrogen uptake by eucalyptus fertilized with enhanced efficiency fertilizers</t>
  </si>
  <si>
    <t>Mariana Ibarr</t>
    <phoneticPr fontId="2" type="noConversion"/>
  </si>
  <si>
    <t>25°23'38''(S)</t>
    <phoneticPr fontId="2" type="noConversion"/>
  </si>
  <si>
    <t>49°07'34''(W)</t>
    <phoneticPr fontId="2" type="noConversion"/>
  </si>
  <si>
    <t>Eucalyptus urograndis</t>
    <phoneticPr fontId="2" type="noConversion"/>
  </si>
  <si>
    <r>
      <t>mg N/m</t>
    </r>
    <r>
      <rPr>
        <vertAlign val="superscript"/>
        <sz val="11"/>
        <rFont val="맑은 고딕"/>
        <family val="3"/>
        <charset val="129"/>
      </rPr>
      <t>2</t>
    </r>
    <phoneticPr fontId="2" type="noConversion"/>
  </si>
  <si>
    <t>Martins, Marcio R.</t>
    <phoneticPr fontId="2" type="noConversion"/>
  </si>
  <si>
    <t>12°00'(S)</t>
    <phoneticPr fontId="2" type="noConversion"/>
  </si>
  <si>
    <t>46°03'(W)</t>
    <phoneticPr fontId="2" type="noConversion"/>
  </si>
  <si>
    <r>
      <t>mg N</t>
    </r>
    <r>
      <rPr>
        <vertAlign val="subscript"/>
        <sz val="11"/>
        <rFont val="맑은 고딕"/>
        <family val="3"/>
        <charset val="129"/>
      </rPr>
      <t>2</t>
    </r>
    <r>
      <rPr>
        <sz val="11"/>
        <rFont val="맑은 고딕"/>
        <family val="3"/>
        <charset val="129"/>
      </rPr>
      <t>O/m2</t>
    </r>
    <phoneticPr fontId="2" type="noConversion"/>
  </si>
  <si>
    <t>Simulating denitrification and nitrous oxide emissions from subtropical maize-winter wheat rotations in Southwestern China using NOEv2 model</t>
  </si>
  <si>
    <t>Gu, Jiangxin</t>
  </si>
  <si>
    <t>31°16'</t>
    <phoneticPr fontId="2" type="noConversion"/>
  </si>
  <si>
    <t>105°28'</t>
    <phoneticPr fontId="2" type="noConversion"/>
  </si>
  <si>
    <t>Nitrous oxide emissions and forage accumulation in the Brazilian Amazon forage-livestock systems submitted to N input strategies</t>
  </si>
  <si>
    <t>do Nascimento</t>
  </si>
  <si>
    <t>11°50'53''(S)</t>
    <phoneticPr fontId="2" type="noConversion"/>
  </si>
  <si>
    <t>55°38'57''(W)</t>
    <phoneticPr fontId="2" type="noConversion"/>
  </si>
  <si>
    <t>Marandu palisade grass</t>
  </si>
  <si>
    <r>
      <rPr>
        <sz val="11"/>
        <color theme="1"/>
        <rFont val="Calibri"/>
        <family val="2"/>
        <charset val="161"/>
      </rPr>
      <t>μ</t>
    </r>
    <r>
      <rPr>
        <sz val="11"/>
        <color theme="1"/>
        <rFont val="맑은 고딕"/>
        <family val="2"/>
        <charset val="129"/>
        <scheme val="minor"/>
      </rPr>
      <t xml:space="preserve">g </t>
    </r>
    <r>
      <rPr>
        <sz val="11"/>
        <color theme="1"/>
        <rFont val="Calibri"/>
        <family val="2"/>
      </rPr>
      <t>N/m</t>
    </r>
    <r>
      <rPr>
        <vertAlign val="superscript"/>
        <sz val="11"/>
        <color theme="1"/>
        <rFont val="Calibri"/>
        <family val="2"/>
        <charset val="161"/>
      </rPr>
      <t>2</t>
    </r>
    <phoneticPr fontId="2" type="noConversion"/>
  </si>
  <si>
    <t>na</t>
    <phoneticPr fontId="2" type="noConversion"/>
  </si>
  <si>
    <t>Zanatta</t>
  </si>
  <si>
    <t>30°04'(S)</t>
    <phoneticPr fontId="2" type="noConversion"/>
  </si>
  <si>
    <t>51°08'(W)</t>
    <phoneticPr fontId="2" type="noConversion"/>
  </si>
  <si>
    <t>Corn</t>
    <phoneticPr fontId="2" type="noConversion"/>
  </si>
  <si>
    <t>Wheat</t>
    <phoneticPr fontId="2" type="noConversion"/>
  </si>
  <si>
    <t>Dexter B. Watts</t>
    <phoneticPr fontId="2" type="noConversion"/>
  </si>
  <si>
    <t>32°25'19''</t>
    <phoneticPr fontId="2" type="noConversion"/>
  </si>
  <si>
    <t>85°53'7''(W)</t>
    <phoneticPr fontId="2" type="noConversion"/>
  </si>
  <si>
    <t>Cotton</t>
    <phoneticPr fontId="2" type="noConversion"/>
  </si>
  <si>
    <t>Montoya, Monica</t>
    <phoneticPr fontId="2" type="noConversion"/>
  </si>
  <si>
    <t>Zinc sulfate</t>
    <phoneticPr fontId="2" type="noConversion"/>
  </si>
  <si>
    <t>40°25'1.3''</t>
    <phoneticPr fontId="2" type="noConversion"/>
  </si>
  <si>
    <t>3°29'45.07''(W)</t>
    <phoneticPr fontId="2" type="noConversion"/>
  </si>
  <si>
    <t>Zinc fertilizers influence greenhouse gas emissions and nitrifying and denitrifying communities in a non-irrigated arable cropland</t>
    <phoneticPr fontId="2" type="noConversion"/>
  </si>
  <si>
    <t>Winter wheat</t>
    <phoneticPr fontId="2" type="noConversion"/>
  </si>
  <si>
    <t>10 kg Zn/ha</t>
    <phoneticPr fontId="2" type="noConversion"/>
  </si>
  <si>
    <t>Monitoring of gaseous nitrogen losses from nitrogen fertilizers in model experiments</t>
  </si>
  <si>
    <t>Debreczeni, K</t>
    <phoneticPr fontId="2" type="noConversion"/>
  </si>
  <si>
    <r>
      <t>mg N/dm</t>
    </r>
    <r>
      <rPr>
        <vertAlign val="superscript"/>
        <sz val="11"/>
        <rFont val="맑은 고딕"/>
        <family val="3"/>
        <charset val="129"/>
      </rPr>
      <t>3</t>
    </r>
    <phoneticPr fontId="2" type="noConversion"/>
  </si>
  <si>
    <t>Effect of mineral nitrogen fertilizer forms on N2O emissions from arable soils in winter wheat production</t>
  </si>
  <si>
    <t>Lebender, Ulrike</t>
    <phoneticPr fontId="2" type="noConversion"/>
  </si>
  <si>
    <t>51°46′31″</t>
  </si>
  <si>
    <t>7°9′46″</t>
  </si>
  <si>
    <t>51°57′5″</t>
    <phoneticPr fontId="2" type="noConversion"/>
  </si>
  <si>
    <t>7°16′58″</t>
  </si>
  <si>
    <t>52°0′47″</t>
  </si>
  <si>
    <t>7°35′57″</t>
  </si>
  <si>
    <t>Combined impact of reduced N fertilizer and green manure on wheat yield, nitrogen use efficiency and nitrous oxide (N2O) emissions reduction in Jharkhand, eastern India</t>
  </si>
  <si>
    <t>Raushan Kumar</t>
  </si>
  <si>
    <t>84°54′</t>
    <phoneticPr fontId="2" type="noConversion"/>
  </si>
  <si>
    <t>22°52′</t>
    <phoneticPr fontId="2" type="noConversion"/>
  </si>
  <si>
    <t>2022-2023</t>
    <phoneticPr fontId="2" type="noConversion"/>
  </si>
  <si>
    <t>Soil acidity amelioration improves N and C cycles in the short term in a system with soybean followed by maize-guinea grass intercropping</t>
  </si>
  <si>
    <t>De Queiroz Barcelos</t>
    <phoneticPr fontId="2" type="noConversion"/>
  </si>
  <si>
    <t>22°49′51.6′′(S)</t>
    <phoneticPr fontId="2" type="noConversion"/>
  </si>
  <si>
    <t>48°25′38.6′′(W)</t>
    <phoneticPr fontId="2" type="noConversion"/>
  </si>
  <si>
    <t>2016-2017</t>
    <phoneticPr fontId="2" type="noConversion"/>
  </si>
  <si>
    <t>Soybean-Maize</t>
    <phoneticPr fontId="2" type="noConversion"/>
  </si>
  <si>
    <t>Gypsum</t>
    <phoneticPr fontId="2" type="noConversion"/>
  </si>
  <si>
    <t>Nitrous oxide concentrations in an Andisol profile and emissions to the atmosphere as influenced by the application of nitrogen fertilizers and manure</t>
    <phoneticPr fontId="2" type="noConversion"/>
  </si>
  <si>
    <t>2Mg/ha Gypsum</t>
    <phoneticPr fontId="2" type="noConversion"/>
  </si>
  <si>
    <r>
      <t>kg SO</t>
    </r>
    <r>
      <rPr>
        <b/>
        <vertAlign val="subscript"/>
        <sz val="11"/>
        <color rgb="FF000000"/>
        <rFont val="맑은 고딕"/>
        <family val="3"/>
        <charset val="129"/>
      </rPr>
      <t>4</t>
    </r>
    <r>
      <rPr>
        <b/>
        <vertAlign val="superscript"/>
        <sz val="11"/>
        <color rgb="FF000000"/>
        <rFont val="맑은 고딕"/>
        <family val="3"/>
        <charset val="129"/>
      </rPr>
      <t>2-</t>
    </r>
    <r>
      <rPr>
        <b/>
        <sz val="11"/>
        <color rgb="FF000000"/>
        <rFont val="맑은 고딕"/>
        <family val="3"/>
        <charset val="129"/>
      </rPr>
      <t>/ha</t>
    </r>
    <phoneticPr fontId="2" type="noConversion"/>
  </si>
  <si>
    <t>(0-30cm)</t>
  </si>
  <si>
    <t>(0-10cm)</t>
  </si>
  <si>
    <t>(0-10cm)</t>
    <phoneticPr fontId="2" type="noConversion"/>
  </si>
  <si>
    <r>
      <t>Cumulative N</t>
    </r>
    <r>
      <rPr>
        <b/>
        <vertAlign val="subscript"/>
        <sz val="11"/>
        <rFont val="맑은 고딕"/>
        <family val="3"/>
        <charset val="129"/>
      </rPr>
      <t>2</t>
    </r>
    <r>
      <rPr>
        <b/>
        <sz val="11"/>
        <rFont val="맑은 고딕"/>
        <family val="3"/>
        <charset val="129"/>
      </rPr>
      <t>O emission with conventional</t>
    </r>
    <phoneticPr fontId="3" type="noConversion"/>
  </si>
  <si>
    <t>Selected Cumulative N2O emission</t>
    <phoneticPr fontId="3" type="noConversion"/>
  </si>
  <si>
    <t>Impacts of Enhanced-Efficiency Nitrogen Fertilizers on Greenhouse Gas Emissions in a Coastal Plain Soil under Cotton</t>
    <phoneticPr fontId="2" type="noConversion"/>
  </si>
  <si>
    <t>46°45'</t>
    <phoneticPr fontId="2" type="noConversion"/>
  </si>
  <si>
    <t>17°14'</t>
    <phoneticPr fontId="2" type="noConversion"/>
  </si>
  <si>
    <t>Nitrogen Fertilization Management and Nitrous Oxide Emission in Lettuce Vegetable Fields in Central Vietnam</t>
    <phoneticPr fontId="2" type="noConversion"/>
  </si>
  <si>
    <t>D.B. Watts</t>
  </si>
  <si>
    <t>Corn-Soybean</t>
    <phoneticPr fontId="2" type="noConversion"/>
  </si>
  <si>
    <t>Panpan Gao</t>
  </si>
  <si>
    <t>Nitrous oxide emission from a sandy loam Inceptisol under irrigated wheat in India as influenced by different nitrification inhibitors.</t>
  </si>
  <si>
    <t>Deepanjan Majumdar</t>
  </si>
  <si>
    <t>Sulfur deposition suppressed nitrogen-induced soil N2O emission from a subtropical forestland in southeastern China</t>
  </si>
  <si>
    <t>Jianling Fan </t>
  </si>
  <si>
    <t>116°55′</t>
    <phoneticPr fontId="2" type="noConversion"/>
  </si>
  <si>
    <t>28°15′</t>
    <phoneticPr fontId="2" type="noConversion"/>
  </si>
  <si>
    <t>2011-2012</t>
    <phoneticPr fontId="2" type="noConversion"/>
  </si>
  <si>
    <t>2012-2013</t>
    <phoneticPr fontId="2" type="noConversion"/>
  </si>
  <si>
    <t>Pine</t>
    <phoneticPr fontId="2" type="noConversion"/>
  </si>
  <si>
    <t>45 kg S/ha</t>
    <phoneticPr fontId="2" type="noConversion"/>
  </si>
  <si>
    <t>Sodium sulfate</t>
    <phoneticPr fontId="2" type="noConversion"/>
  </si>
  <si>
    <t>28°40′</t>
    <phoneticPr fontId="2" type="noConversion"/>
  </si>
  <si>
    <t>77°12′</t>
    <phoneticPr fontId="2" type="noConversion"/>
  </si>
  <si>
    <t>1998-1999</t>
    <phoneticPr fontId="2" type="noConversion"/>
  </si>
  <si>
    <t>Ammonium thiosulphate</t>
    <phoneticPr fontId="2" type="noConversion"/>
  </si>
  <si>
    <t>27.5 kg S/ha</t>
    <phoneticPr fontId="2" type="noConversion"/>
  </si>
  <si>
    <t>37°55′24″</t>
    <phoneticPr fontId="2" type="noConversion"/>
  </si>
  <si>
    <t>117°55′56″</t>
    <phoneticPr fontId="2" type="noConversion"/>
  </si>
  <si>
    <t>37°55′44″</t>
    <phoneticPr fontId="2" type="noConversion"/>
  </si>
  <si>
    <t>0.72g/kg Gypsum</t>
    <phoneticPr fontId="2" type="noConversion"/>
  </si>
  <si>
    <t>200 mg N/kg</t>
    <phoneticPr fontId="2" type="noConversion"/>
  </si>
  <si>
    <r>
      <t>mg/m</t>
    </r>
    <r>
      <rPr>
        <vertAlign val="superscript"/>
        <sz val="11"/>
        <rFont val="맑은 고딕"/>
        <family val="3"/>
        <charset val="129"/>
      </rPr>
      <t>2</t>
    </r>
    <phoneticPr fontId="2" type="noConversion"/>
  </si>
  <si>
    <t>117°56′48″</t>
    <phoneticPr fontId="2" type="noConversion"/>
  </si>
  <si>
    <t>Influence of gypsum and cover crop on greenhouse gas emissions in soybean cropping systems.</t>
    <phoneticPr fontId="2" type="noConversion"/>
  </si>
  <si>
    <t>32°25′19″</t>
    <phoneticPr fontId="2" type="noConversion"/>
  </si>
  <si>
    <t>85°53′7″</t>
    <phoneticPr fontId="2" type="noConversion"/>
  </si>
  <si>
    <t>40°15′34.7″</t>
    <phoneticPr fontId="2" type="noConversion"/>
  </si>
  <si>
    <t>85°09′19.9″</t>
    <phoneticPr fontId="2" type="noConversion"/>
  </si>
  <si>
    <t>41°13′18.26″</t>
    <phoneticPr fontId="2" type="noConversion"/>
  </si>
  <si>
    <t>83°45′34.91″</t>
    <phoneticPr fontId="2" type="noConversion"/>
  </si>
  <si>
    <t>Soybean-Soybean</t>
    <phoneticPr fontId="2" type="noConversion"/>
  </si>
  <si>
    <t>2200kg/ha</t>
    <phoneticPr fontId="2" type="noConversion"/>
  </si>
  <si>
    <t>Effects of the three amendments on NH3 volatilization, N2O emissions, and nitrification at four salinity levels: An indoor experiment.</t>
    <phoneticPr fontId="2" type="noConversion"/>
  </si>
  <si>
    <t>NITROUS OXIDE AND METHANE FLUXES IN SOUTH BRAZILIAN GLEYSOL AS AFFECTED BY NITROGEN FERTILIZERS</t>
    <phoneticPr fontId="2" type="noConversion"/>
  </si>
  <si>
    <t>Zinc-nitrogen co-fertilization influences N2O emissions and microbial communities in an irrigated maize field</t>
    <phoneticPr fontId="2" type="noConversion"/>
  </si>
  <si>
    <t>Nitrous oxide and ammonia emissions from N fertilization of maize crop under no-till in a Cerrado soil</t>
    <phoneticPr fontId="2" type="noConversion"/>
  </si>
  <si>
    <r>
      <t>Exploring sulfate as an Alternative Electron Acceptor: A Potential Strategy to Mitigate N</t>
    </r>
    <r>
      <rPr>
        <vertAlign val="subscript"/>
        <sz val="11"/>
        <color theme="1"/>
        <rFont val="맑은 고딕"/>
        <family val="3"/>
        <charset val="129"/>
      </rPr>
      <t>2</t>
    </r>
    <r>
      <rPr>
        <sz val="11"/>
        <color theme="1"/>
        <rFont val="맑은 고딕"/>
        <family val="3"/>
        <charset val="129"/>
      </rPr>
      <t xml:space="preserve">O Emissions in Upland Arable Soils  </t>
    </r>
    <phoneticPr fontId="2" type="noConversion"/>
  </si>
  <si>
    <t>Hyun Ho Lee</t>
    <phoneticPr fontId="2" type="noConversion"/>
  </si>
  <si>
    <t>35°30′08″</t>
    <phoneticPr fontId="2" type="noConversion"/>
  </si>
  <si>
    <t>128°43′15″</t>
    <phoneticPr fontId="2" type="noConversion"/>
  </si>
  <si>
    <t>Iron sulfate</t>
    <phoneticPr fontId="2" type="noConversion"/>
  </si>
  <si>
    <t>20kg/ha</t>
    <phoneticPr fontId="2" type="noConversion"/>
  </si>
  <si>
    <t>Mg/ha</t>
    <phoneticPr fontId="2" type="noConversion"/>
  </si>
  <si>
    <t>Manganese sulfate</t>
    <phoneticPr fontId="2" type="noConversion"/>
  </si>
  <si>
    <t>Publication Type</t>
  </si>
  <si>
    <t>Authors</t>
  </si>
  <si>
    <t>Book Authors</t>
  </si>
  <si>
    <t>Book Editors</t>
  </si>
  <si>
    <t>Book Group Authors</t>
  </si>
  <si>
    <t>Author Full Names</t>
  </si>
  <si>
    <t>Book Author Full Names</t>
  </si>
  <si>
    <t>Group Authors</t>
  </si>
  <si>
    <t>Article Title</t>
  </si>
  <si>
    <t>Source Title</t>
  </si>
  <si>
    <t>Book Series Title</t>
  </si>
  <si>
    <t>Book Series Subtitle</t>
  </si>
  <si>
    <t>Language</t>
  </si>
  <si>
    <t>Document Type</t>
  </si>
  <si>
    <t>Conference Title</t>
  </si>
  <si>
    <t>Conference Date</t>
  </si>
  <si>
    <t>Conference Location</t>
  </si>
  <si>
    <t>Conference Sponsor</t>
  </si>
  <si>
    <t>Conference Host</t>
  </si>
  <si>
    <t>Author Keywords</t>
  </si>
  <si>
    <t>Keywords Plus</t>
  </si>
  <si>
    <t>Abstract</t>
  </si>
  <si>
    <t>Addresses</t>
  </si>
  <si>
    <t>Affiliations</t>
  </si>
  <si>
    <t>Reprint Addresses</t>
  </si>
  <si>
    <t>Email Addresses</t>
  </si>
  <si>
    <t>Researcher Ids</t>
  </si>
  <si>
    <t>ORCIDs</t>
  </si>
  <si>
    <t>Funding Orgs</t>
  </si>
  <si>
    <t>Funding Name Preferred</t>
  </si>
  <si>
    <t>Funding Text</t>
  </si>
  <si>
    <t>Cited References</t>
  </si>
  <si>
    <t>Cited Reference Count</t>
  </si>
  <si>
    <t>Times Cited, WoS Core</t>
  </si>
  <si>
    <t>Times Cited, All Databases</t>
  </si>
  <si>
    <t>180 Day Usage Count</t>
  </si>
  <si>
    <t>Since 2013 Usage Count</t>
  </si>
  <si>
    <t>Publisher</t>
  </si>
  <si>
    <t>Publisher City</t>
  </si>
  <si>
    <t>Publisher Address</t>
  </si>
  <si>
    <t>ISSN</t>
  </si>
  <si>
    <t>eISSN</t>
  </si>
  <si>
    <t>ISBN</t>
  </si>
  <si>
    <t>Journal Abbreviation</t>
  </si>
  <si>
    <t>Journal ISO Abbreviation</t>
  </si>
  <si>
    <t>Publication Date</t>
  </si>
  <si>
    <t>Publication Year</t>
  </si>
  <si>
    <t>Volume</t>
  </si>
  <si>
    <t>Issue</t>
  </si>
  <si>
    <t>Part Number</t>
  </si>
  <si>
    <t>Supplement</t>
  </si>
  <si>
    <t>Special Issue</t>
  </si>
  <si>
    <t>Meeting Abstract</t>
  </si>
  <si>
    <t>Start Page</t>
  </si>
  <si>
    <t>End Page</t>
  </si>
  <si>
    <t>Article Number</t>
  </si>
  <si>
    <t>DOI</t>
  </si>
  <si>
    <t>DOI Link</t>
  </si>
  <si>
    <t>Book DOI</t>
  </si>
  <si>
    <t>Early Access Date</t>
  </si>
  <si>
    <t>Number of Pages</t>
  </si>
  <si>
    <t>WoS Categories</t>
  </si>
  <si>
    <t>Web of Science Index</t>
  </si>
  <si>
    <t>Research Areas</t>
  </si>
  <si>
    <t>IDS Number</t>
  </si>
  <si>
    <t>Pubmed Id</t>
  </si>
  <si>
    <t>Open Access Designations</t>
  </si>
  <si>
    <t>Highly Cited Status</t>
  </si>
  <si>
    <t>Hot Paper Status</t>
  </si>
  <si>
    <t>Date of Export</t>
  </si>
  <si>
    <t>UT (Unique WOS ID)</t>
  </si>
  <si>
    <t>Web of Science Record</t>
  </si>
  <si>
    <t>J</t>
  </si>
  <si>
    <t>Matsushima, M; Choi, WJ; Inubushi, K</t>
  </si>
  <si>
    <t/>
  </si>
  <si>
    <t>Matsushima, Miwa; Choi, Woo-Jung; Inubushi, Kazuyuki</t>
  </si>
  <si>
    <t>Nitrification Inhibitor Reduces Nitrous Oxide Production from Different Soil Profiles of an Andosol Soil</t>
  </si>
  <si>
    <t>COMMUNICATIONS IN SOIL SCIENCE AND PLANT ANALYSIS</t>
  </si>
  <si>
    <t>Yashima, Miwa/JZT-1933-2024; INUBUSHI, Kazuyuki/I-8717-2014</t>
  </si>
  <si>
    <t>Yashima, Miwa/0000-0001-5461-5914; Inubushi, Kazuyuki/0000-0002-2230-0755</t>
  </si>
  <si>
    <t>0010-3624</t>
  </si>
  <si>
    <t>1532-2416</t>
  </si>
  <si>
    <t>19-20</t>
  </si>
  <si>
    <t>PII 916236682</t>
  </si>
  <si>
    <t>10.1080/00103620903261692</t>
  </si>
  <si>
    <t>WOS:000274285900014</t>
  </si>
  <si>
    <t>Ananyeva, ND; Ivashchenko, KV; Stolnikova, EV; Stepanov, AL; Kudeyarov, VN</t>
  </si>
  <si>
    <t>Ananyeva, N. D.; Ivashchenko, K. V.; Stolnikova, E. V.; Stepanov, A. L.; Kudeyarov, V. N.</t>
  </si>
  <si>
    <t>Specific features of determination of the net production of nitrous oxide by soils</t>
  </si>
  <si>
    <t>EURASIAN SOIL SCIENCE</t>
  </si>
  <si>
    <t>Stepanov, Andrey/E-4497-2014; Kudeyarov, Valery/I-8960-2017; Ivashchenko, Kristina/M-6569-2016; Ananyeva, Nadezhda/J-5098-2018</t>
  </si>
  <si>
    <t>Kudeyarov, Valery/0000-0002-0217-2872; Ivashchenko, Kristina/0000-0001-8397-158X; Ananyeva, Nadezhda/0000-0002-0434-6071</t>
  </si>
  <si>
    <t>1064-2293</t>
  </si>
  <si>
    <t>1556-195X</t>
  </si>
  <si>
    <t>JUN</t>
  </si>
  <si>
    <t>10.1134/S1064229315060022</t>
  </si>
  <si>
    <t>WOS:000356367100007</t>
  </si>
  <si>
    <t>Zhang, LJ; Yin, YC; Sun, YC; Liang, XJ; Graham, DE; Pierce, EM; Loeffler, FE; Gu, BH</t>
  </si>
  <si>
    <t>Zhang, Lijie; Yin, Yongchao; Sun, Yanchen; Liang, Xujun; Graham, David E.; Pierce, Eric M.; Loeffler, Frank E.; Gu, Baohua</t>
  </si>
  <si>
    <t>Inhibition of Methylmercury and Methane Formation by Nitrous Oxide in Arctic Tundra Soil Microcosms</t>
  </si>
  <si>
    <t>ENVIRONMENTAL SCIENCE &amp; TECHNOLOGY</t>
  </si>
  <si>
    <t>Liang, Xujun/KYO-8681-2024; Sun, Yanchen/JJC-1234-2023; Graham, David/F-8578-2010; Yin, Yongchao/AAC-5320-2022; Gu, Baohua/B-9511-2012; Pierce, Eric/G-1615-2011</t>
  </si>
  <si>
    <t>Graham, David/0000-0001-8968-7344; Zhang, Lijie/0000-0001-5550-9603; Sun, Yanchen/0000-0003-1265-2738; Loeffler, Frank/0000-0002-9797-4279; Yin, Yongchao/0000-0001-8191-8013; Gu, Baohua/0000-0002-7299-2956; Pierce, Eric/0000-0002-4951-1931</t>
  </si>
  <si>
    <t>0013-936X</t>
  </si>
  <si>
    <t>1520-5851</t>
  </si>
  <si>
    <t>APR 11</t>
  </si>
  <si>
    <t>10.1021/acs.est.2c09457</t>
  </si>
  <si>
    <t>WOS:000973007800001</t>
  </si>
  <si>
    <t>Sánchez-Martín, L; Vallejo, A; Dick, J; Skiba, UM</t>
  </si>
  <si>
    <t>Sanchez-Martin, Laura; Vallejo, Antonio; Dick, Jan; Skiba, Ute M.</t>
  </si>
  <si>
    <t>The influence of soluble carbon and fertilizer nitrogen on nitric oxide and nitrous oxide emissions from two contrasting agricultural soils</t>
  </si>
  <si>
    <t>SOIL BIOLOGY &amp; BIOCHEMISTRY</t>
  </si>
  <si>
    <t>Dick, Jan/I-6839-2012; SANCHEZ-MARTIN, LAURA/L-4754-2017; Skiba, Ute/I-6441-2012; VALLEJO, ANTONIO/K-6823-2014</t>
  </si>
  <si>
    <t>SANCHEZ-MARTIN, LAURA/0000-0002-1759-711X; Skiba, Ute/0000-0001-8659-6092; VALLEJO, ANTONIO/0000-0003-0311-7450</t>
  </si>
  <si>
    <t>0038-0717</t>
  </si>
  <si>
    <t>JAN</t>
  </si>
  <si>
    <t>10.1016/j.soilbio.2007.07.016</t>
  </si>
  <si>
    <t>WOS:000251242000014</t>
  </si>
  <si>
    <t>Thapa, R; Chatterjee, A; Wick, A; Butcher, K</t>
  </si>
  <si>
    <t>Thapa, Resham; Chatterjee, Amitava; Wick, Abbey; Butcher, Kirsten</t>
  </si>
  <si>
    <t>Carbon Dioxide and Nitrous Oxide Emissions from Naturally Occurring Sulfate-Based Saline Soils at Different Moisture Contents</t>
  </si>
  <si>
    <t>PEDOSPHERE</t>
  </si>
  <si>
    <t>Butcher, Kirsten/AAU-4881-2020</t>
  </si>
  <si>
    <t>Thapa, Resham/0000-0002-0059-764X</t>
  </si>
  <si>
    <t>1002-0160</t>
  </si>
  <si>
    <t>2210-5107</t>
  </si>
  <si>
    <t>OCT</t>
  </si>
  <si>
    <t>SI</t>
  </si>
  <si>
    <t>10.1016/S1002-0160(17)60453-3</t>
  </si>
  <si>
    <t>WOS:000416880300008</t>
  </si>
  <si>
    <t>Chidthaisong, A; Cha-un, N; Rossopa, B; Buddaboon, C; Kunuthai, C; Sriphirom, P; Towprayoon, S; Tokida, T; Padre, AT; Minamikawa, K</t>
  </si>
  <si>
    <t>Chidthaisong, Amnat; Cha-un, Nittaya; Rossopa, Benjamas; Buddaboon, Chitnucha; Kunuthai, Choosak; Sriphirom, Patikorn; Towprayoon, Sirintornthep; Tokida, Takeshi; Padre, Agnes T.; Minamikawa, Kazunori</t>
  </si>
  <si>
    <t>Evaluating the effects of alternate wetting and drying (AWD) on methane and nitrous oxide emissions from a paddy field in Thailand</t>
  </si>
  <si>
    <t>SOIL SCIENCE AND PLANT NUTRITION</t>
  </si>
  <si>
    <t>Sriphirom, Patikorn/KCY-8311-2024; Minamikawa, Kazunori/AAV-1285-2021; Cha-un, Nittaya/KIK-7890-2024; Tokida, Takeshi/F-7203-2010</t>
  </si>
  <si>
    <t>Minamikawa, Kazunori/0000-0002-4762-8765; Tokida, Takeshi/0000-0001-7245-2952</t>
  </si>
  <si>
    <t>0038-0768</t>
  </si>
  <si>
    <t>1747-0765</t>
  </si>
  <si>
    <t>10.1080/00380768.2017.1399044</t>
  </si>
  <si>
    <t>WOS:000424108000005</t>
  </si>
  <si>
    <t>Luo, JF; van der Weerden, T; Saggar, S; Di, HJ; Podolyan, A; Adhikari, K; Ding, K; Lindsey, S; Luo, DW; Ouyang, L; Rutherford, A</t>
  </si>
  <si>
    <t>Luo, Jiafa; van der Weerden, Tony; Saggar, Surinder; Di, Hong J.; Podolyan, Andriy; Adhikari, Kamal; Ding, Keren; Lindsey, Stuart; Luo, Dongwen; Ouyang, Lily; Rutherford, Alison</t>
  </si>
  <si>
    <t>Nitrous oxide emission factors for fertiliser ammonium sulphate, diammonium phosphate, and urea</t>
  </si>
  <si>
    <t>NEW ZEALAND JOURNAL OF AGRICULTURAL RESEARCH</t>
  </si>
  <si>
    <t>Luo, dongwen/MIU-5847-2025; Podolyan, Andriy/I-3530-2019; Di, Hong Jie/G-5583-2010; Podolyan, Andriy/W-6427-2018</t>
  </si>
  <si>
    <t>Saggar, Surinder/0000-0003-1410-4874; Podolyan, Andriy/0000-0002-5794-8623</t>
  </si>
  <si>
    <t>0028-8233</t>
  </si>
  <si>
    <t>1175-8775</t>
  </si>
  <si>
    <t>2023 NOV 1</t>
  </si>
  <si>
    <t>10.1080/00288233.2023.2277916</t>
  </si>
  <si>
    <t>NOV 2023</t>
  </si>
  <si>
    <t>WOS:001096454700001</t>
  </si>
  <si>
    <t>Yli-Halla, M; Virtanen, S; Regina, K; Österholm, P; Ehnvall, B; Uusi-Kämppä, J</t>
  </si>
  <si>
    <t>Yli-Halla, Markku; Virtanen, Seija; Regina, Kristiina; Osterholm, Peter; Ehnvall, Betty; Uusi-Kamppa, Jaana</t>
  </si>
  <si>
    <t>Nitrogen stocks and flows in an acid sulfate soil</t>
  </si>
  <si>
    <t>ENVIRONMENTAL MONITORING AND ASSESSMENT</t>
  </si>
  <si>
    <t>Virtanen, Seija/LTD-1688-2024; Yli-Halla, Markku/B-5567-2015</t>
  </si>
  <si>
    <t>Ehnvall, Betty/0000-0001-8120-4029; Lang, Kristiina/0000-0001-9080-7956; Yli-Halla, Markku/0000-0002-8062-7019; Uusi-Kamppa, Jaana/0000-0002-3445-7290; Virtanen, Seija/0000-0003-1409-9120; Osterholm, Peter/0000-0001-8741-6671</t>
  </si>
  <si>
    <t>0167-6369</t>
  </si>
  <si>
    <t>1573-2959</t>
  </si>
  <si>
    <t>NOV 6</t>
  </si>
  <si>
    <t>10.1007/s10661-020-08697-1</t>
  </si>
  <si>
    <t>WOS:000586880600001</t>
  </si>
  <si>
    <t>Hua, X; Guangxi, X; Cai, ZC; Tsuruta, H</t>
  </si>
  <si>
    <t>Nitrous oxide emissions from three rice paddy fields in China</t>
  </si>
  <si>
    <t>NUTRIENT CYCLING IN AGROECOSYSTEMS</t>
  </si>
  <si>
    <t>International Symposium on Soil-Source and Sink of Greenhouse Gases</t>
  </si>
  <si>
    <t>SEP 18-21, 1995</t>
  </si>
  <si>
    <t>CHINESE ACAD SCI, INST SOIL SCI, NANJING, PEOPLES R CHINA</t>
  </si>
  <si>
    <t>Chinese Acad Sci,China Natl Nat Sci Fdn,China Int Ctr Technol Exchange,Chisso, K K Corp,Finnigan Corp,Bio Rad Labs Inc,Beckman Instruments Inc,USDA NCRS</t>
  </si>
  <si>
    <t>CHINESE ACAD SCI, INST SOIL SCI</t>
  </si>
  <si>
    <t>Tsuruta, Haruo/M-7657-2014</t>
  </si>
  <si>
    <t>1385-1314</t>
  </si>
  <si>
    <t>1573-0867</t>
  </si>
  <si>
    <t>1-3</t>
  </si>
  <si>
    <t>10.1023/A:1009779514395</t>
  </si>
  <si>
    <t>WOS:A1997XY55300005</t>
  </si>
  <si>
    <t>Ghosh, S; Majumdar, D; Jain, MC</t>
  </si>
  <si>
    <t>Methane and nitrous oxide emissions from an irrigated rice of North India</t>
  </si>
  <si>
    <t>CHEMOSPHERE</t>
  </si>
  <si>
    <t>Majumdar, Deepanjan/L-1137-2016</t>
  </si>
  <si>
    <t>0045-6535</t>
  </si>
  <si>
    <t>1879-1298</t>
  </si>
  <si>
    <t>APR</t>
  </si>
  <si>
    <t>10.1016/S0045-6535(02)00822-6</t>
  </si>
  <si>
    <t>WOS:000181240400003</t>
  </si>
  <si>
    <t>Watanabe, T</t>
  </si>
  <si>
    <t>Influence of 2-chloro-6 (trichloromethyl) dicyandiamide on nitrous oxide emission conditions</t>
  </si>
  <si>
    <t>10.1111/j.1747-0765.2006.00018.x</t>
  </si>
  <si>
    <t>WOS:000237258700012</t>
  </si>
  <si>
    <t>JONES, AM; KNOWLES, R</t>
  </si>
  <si>
    <t>SULFIDE ALLEVIATION OF ACETYLENE INHIBITION OF NITROUS-OXIDE REDUCTION BY FLEXIBACTER-CANADENSIS</t>
  </si>
  <si>
    <t>CANADIAN JOURNAL OF MICROBIOLOGY</t>
  </si>
  <si>
    <t>0008-4166</t>
  </si>
  <si>
    <t>FEB</t>
  </si>
  <si>
    <t>10.1139/m92-023</t>
  </si>
  <si>
    <t>WOS:A1992HR30500010</t>
  </si>
  <si>
    <t>Khalil, K; Mary, B; Renault, P</t>
  </si>
  <si>
    <t>Nitrous oxide production by nitrification and denitrification in soil aggregates as affected by O2 concentration</t>
  </si>
  <si>
    <t>1879-3428</t>
  </si>
  <si>
    <t>10.1016/j.soilbio.2004.01.004</t>
  </si>
  <si>
    <t>WOS:000220786200013</t>
  </si>
  <si>
    <t>Denmead, OT; Macdonald, BCT; Bryant, G; Naylor, T; Wilson, S; Griffith, DWT; Wang, WJ; Salter, B; White, I; Moody, PW</t>
  </si>
  <si>
    <t>Denmead, O. T.; Macdonald, B. C. T.; Bryant, G.; Naylor, T.; Wilson, S.; Griffith, D. W. T.; Wang, W. J.; Salter, B.; White, I.; Moody, P. W.</t>
  </si>
  <si>
    <t>Emissions of methane and nitrous oxide from Australian sugarcane soils</t>
  </si>
  <si>
    <t>AGRICULTURAL AND FOREST METEOROLOGY</t>
  </si>
  <si>
    <t>Workshop on Eddy Covariance EC Flux Measurements of CH4 and N2O</t>
  </si>
  <si>
    <t>APR, 2008</t>
  </si>
  <si>
    <t>Helsinki, FINLAND</t>
  </si>
  <si>
    <t>Macdonald, Ben/G-1078-2012; Denmead, Owen/A-7087-2009; Wilson, Stephen/O-6151-2018; Wang, Weijin/AAE-9848-2020</t>
  </si>
  <si>
    <t>Wang, Weijin/0000-0002-5209-9300; Macdonald, Ben/0000-0001-8105-0779</t>
  </si>
  <si>
    <t>0168-1923</t>
  </si>
  <si>
    <t>1873-2240</t>
  </si>
  <si>
    <t>JUN 15</t>
  </si>
  <si>
    <t>10.1016/j.agrformet.2009.06.018</t>
  </si>
  <si>
    <t>WOS:000280076400002</t>
  </si>
  <si>
    <t>Bronson, KF; Hunsaker, DJ; El-Shikha, DM; Rockholt, SM; Williams, CF; Rasutis, D; Soratana, K; Venterea, RT</t>
  </si>
  <si>
    <t>Bronson, K. F.; Hunsaker, D. J.; El-Shikha, D. M.; Rockholt, S. M.; Williams, C. F.; Rasutis, D.; Soratana, K.; Venterea, R. T.</t>
  </si>
  <si>
    <t>Nitrous oxide emissions, N uptake, biomass, and rubber yield in N-fertilized, surface-irrigated guayule</t>
  </si>
  <si>
    <t>INDUSTRIAL CROPS AND PRODUCTS</t>
  </si>
  <si>
    <t>Venterea, Rodney/A-3930-2009</t>
  </si>
  <si>
    <t>, Clinton/0000-0002-2554-5061; Venterea, Rodney/0000-0002-9003-2318</t>
  </si>
  <si>
    <t>0926-6690</t>
  </si>
  <si>
    <t>1872-633X</t>
  </si>
  <si>
    <t>SEP 1</t>
  </si>
  <si>
    <t>10.1016/j.indcrop.2021.113561</t>
  </si>
  <si>
    <t>APR 2021</t>
  </si>
  <si>
    <t>WOS:000652531900002</t>
  </si>
  <si>
    <t>Yin, JH; Liu, R; Cao, WC; Zhu, K; Fenton, O; Guo, JH; Chen, Q</t>
  </si>
  <si>
    <t>Yin, Junhui; Liu, Rui; Cao, Wenchao; Zhu, Kun; Fenton, Owen; Guo, Jingheng; Chen, Qing</t>
  </si>
  <si>
    <t>Nitrogen and carbon addition changed nitrous oxide emissions from soil aggregates in straw-incorporated soil</t>
  </si>
  <si>
    <t>JOURNAL OF SOILS AND SEDIMENTS</t>
  </si>
  <si>
    <t>Liu, Rui/JPX-6368-2023; Fenton, Owen/D-4377-2009</t>
  </si>
  <si>
    <t>Chen, Qing/0000-0002-4589-0161; Yin, Junhui/0009-0001-8413-9696</t>
  </si>
  <si>
    <t>1439-0108</t>
  </si>
  <si>
    <t>1614-7480</t>
  </si>
  <si>
    <t>10.1007/s11368-021-03093-9</t>
  </si>
  <si>
    <t>OCT 2021</t>
  </si>
  <si>
    <t>WOS:000708759100001</t>
  </si>
  <si>
    <t>Simek, M; Virtanen, S; Simojoki, A; Chronáková, A; Elhottová, D; Krigtufek, V; Yli-Halla, M</t>
  </si>
  <si>
    <t>Simek, Miloslav; Virtanen, Seija; Simojoki, Asko; Chronakova, Alica; Elhottova, Dana; Krigtufek, Vaclav; Yli-Halla, Markku</t>
  </si>
  <si>
    <t>The microbial communities and potential greenhouse gas production in boreal acid sulphate, non-acid sulphate, and reedy sulphidic soils</t>
  </si>
  <si>
    <t>SCIENCE OF THE TOTAL ENVIRONMENT</t>
  </si>
  <si>
    <t>Simojoki, Asko/Y-8194-2019; Elhottová, Dana/G-1168-2014; Virtanen, Seija/LTD-1688-2024; Yli-Halla, Markku/B-5567-2015; Šimek, Miloslav/G-1532-2014; Krištůfek, Václav/G-3846-2014; Chronakova, Alica/G-1422-2014</t>
  </si>
  <si>
    <t>Yli-Halla, Markku/0000-0002-8062-7019; Simojoki, Asko/0000-0003-2397-3553; Virtanen, Seija/0000-0003-1409-9120; Chronakova, Alica/0000-0002-3316-6862</t>
  </si>
  <si>
    <t>0048-9697</t>
  </si>
  <si>
    <t>1879-1026</t>
  </si>
  <si>
    <t>JAN 1</t>
  </si>
  <si>
    <t>10.1016/j.scitotenv.2013.07.083</t>
  </si>
  <si>
    <t>WOS:000330491600070</t>
  </si>
  <si>
    <t>Meng, TZ; Wei, Q; Yang, YJ; Cai, ZC</t>
  </si>
  <si>
    <t>Meng, Tianzhu; Wei, Qi; Yang, Yanju; Cai, Zucong</t>
  </si>
  <si>
    <t>The influences of soil sulfate content on the transformations of nitrate and sulfate during the reductive soil disinfestation (RSD) process</t>
  </si>
  <si>
    <t>Wei, Qi/JJF-3393-2023</t>
  </si>
  <si>
    <t>APR 20</t>
  </si>
  <si>
    <t>10.1016/j.scitotenv.2021.151766</t>
  </si>
  <si>
    <t>MAR 2022</t>
  </si>
  <si>
    <t>WOS:000789651100003</t>
  </si>
  <si>
    <t>Peng, Q; Qi, YC; Dong, YS; Xiao, SS; He, YT</t>
  </si>
  <si>
    <t>Peng, Qin; Qi, Yuchun; Dong, Yunshe; Xiao, Shengsheng; He, Yating</t>
  </si>
  <si>
    <t>Soil nitrous oxide emissions from a typical semiarid temperate steppe in inner Mongolia: effects of mineral nitrogen fertilizer levels and forms</t>
  </si>
  <si>
    <t>PLANT AND SOIL</t>
  </si>
  <si>
    <t>0032-079X</t>
  </si>
  <si>
    <t>1573-5036</t>
  </si>
  <si>
    <t>MAY</t>
  </si>
  <si>
    <t>1-2</t>
  </si>
  <si>
    <t>10.1007/s11104-010-0699-1</t>
  </si>
  <si>
    <t>WOS:000289562000027</t>
  </si>
  <si>
    <t>Paredes, DD; Alves, BJR; dos Santos, MA; Bolonhezi, D; Sant'Anna, SAC; Urquiaga, S; Lima, MA; Boddey, RM</t>
  </si>
  <si>
    <t>Paredes, Debora da S.; Alves, Bruno J. R.; dos Santos, Marco A.; Bolonhezi, Denizart; Sant'Anna, Selenobaldo A. C.; Urquiaga, Segundo; Lima, Magda A.; Boddey, Robert M.</t>
  </si>
  <si>
    <t>Nitrous Oxide and Methane Fluxes Following Ammonium Sulfate and Vinasse Application on Sugar Cane Soil</t>
  </si>
  <si>
    <t>Santos, Marco/C-7220-2015; Alves, Bruno/B-8349-2018; Anna, Selenobaldo/G-9506-2019; Lima, Magda/N-7782-2017</t>
  </si>
  <si>
    <t>Lima, Magda/0000-0001-8104-386X; Boddey, Robert/0000-0003-3648-9859; dos Santos, Marco Aurelio/0000-0002-2422-3765</t>
  </si>
  <si>
    <t>SEP 15</t>
  </si>
  <si>
    <t>10.1021/acs.est.5b01504</t>
  </si>
  <si>
    <t>WOS:000361415800054</t>
  </si>
  <si>
    <t>Easton, ZM; Rogers, M; Davis, M; Wade, J; Eick, M; Bock, E</t>
  </si>
  <si>
    <t>Easton, Zachary M.; Rogers, Mark; Davis, Martin; Wade, James; Eick, Mathew; Bock, Emily</t>
  </si>
  <si>
    <t>Mitigation of sulfate reduction and nitrous oxide emission in denitrifying environments with amorphous iron oxide and biochar</t>
  </si>
  <si>
    <t>ECOLOGICAL ENGINEERING</t>
  </si>
  <si>
    <t>Bock, Emily/0000-0002-6412-8586; Davis, James/0000-0001-5620-1280</t>
  </si>
  <si>
    <t>0925-8574</t>
  </si>
  <si>
    <t>1872-6992</t>
  </si>
  <si>
    <t>SEP</t>
  </si>
  <si>
    <t>10.1016/j.ecoleng.2015.05.008</t>
  </si>
  <si>
    <t>WOS:000360189100071</t>
  </si>
  <si>
    <t>Mkhabela, MS; Gordon, R; Burton, D; Madani, A; Hart, W</t>
  </si>
  <si>
    <t>Mkhabela, M. S.; Gordon, R.; Burton, D.; Madani, A.; Hart, W.</t>
  </si>
  <si>
    <t>Nitrous oxide emissions and soil mineral nitrogen status following application of hog slurry and inorganic fertilisers to acidic soils under forage grass</t>
  </si>
  <si>
    <t>CANADIAN JOURNAL OF SOIL SCIENCE</t>
  </si>
  <si>
    <t>Burton, David/A-7495-2008</t>
  </si>
  <si>
    <t>0008-4271</t>
  </si>
  <si>
    <t>1918-1841</t>
  </si>
  <si>
    <t>10.4141/CJSS06024</t>
  </si>
  <si>
    <t>WOS:000255717800003</t>
  </si>
  <si>
    <t>Li, YW; Xu, JZ; Liu, SM; Qi, ZM; Wang, HY; Wei, Q; Gu, Z; Liu, XY; Hameed, F</t>
  </si>
  <si>
    <t>Li, Yawei; Xu, Junzeng; Liu, Shimeng; Qi, Zhiming; Wang, Haiyu; Wei, Qi; Gu, Zhe; Liu, Xiaoyin; Hameed, Fazli</t>
  </si>
  <si>
    <t>Salinity-induced concomitant increases in soil ammonia volatilization and nitrous oxide emission</t>
  </si>
  <si>
    <t>GEODERMA</t>
  </si>
  <si>
    <t>Haiyu, Wang/LSI-8716-2024; Wei, Qi/JJF-3393-2023; Gu, Zhe/AGY-9876-2022; Hameed, Fazli/AAT-7400-2021; Liu, Xiaoyin/L-7568-2019; , xujunzeng/AGY-0464-2022</t>
  </si>
  <si>
    <t>Liu, Shimeng/0000-0001-8838-5352; Li, Yawei/0000-0003-4820-8030; Hameed, Fazli/0000-0002-9706-817X</t>
  </si>
  <si>
    <t>0016-7061</t>
  </si>
  <si>
    <t>1872-6259</t>
  </si>
  <si>
    <t>MAR 1</t>
  </si>
  <si>
    <t>10.1016/j.geoderma.2019.114053</t>
  </si>
  <si>
    <t>WOS:000510804700037</t>
  </si>
  <si>
    <t>Giweta, M; Dyck, M; Malhi, SS; Puurveen, D; Quideau, SA</t>
  </si>
  <si>
    <t>Giweta, Mekonnen; Dyck, Miles; Malhi, Sukhdev S.; Puurveen, Dick; Quideau, S. A.</t>
  </si>
  <si>
    <t>Soil nitrous oxide emissions most sensitive to fertilization history during a laboratory incubation</t>
  </si>
  <si>
    <t>Quideau, Sylvie/C-9646-2015</t>
  </si>
  <si>
    <t>DEC</t>
  </si>
  <si>
    <t>10.1139/cjss-2020-0034</t>
  </si>
  <si>
    <t>WOS:000595593400013</t>
  </si>
  <si>
    <t>Nishimura, S; Sugito, T; Nagatake, A; Oka, N</t>
  </si>
  <si>
    <t>Nishimura, Seiichi; Sugito, Tomoko; Nagatake, Arata; Oka, Norikuni</t>
  </si>
  <si>
    <t>Nitrous oxide emission reduced by coated nitrate fertilizer in a cool-temperate region</t>
  </si>
  <si>
    <t>MAR</t>
  </si>
  <si>
    <t>10.1007/s10705-020-10116-3</t>
  </si>
  <si>
    <t>FEB 2021</t>
  </si>
  <si>
    <t>WOS:000615754800001</t>
  </si>
  <si>
    <t>YEOMANS, JC; BEAUCHAMP, EG</t>
  </si>
  <si>
    <t>SULFUR IN ACETYLENE INHIBITION OF NITROUS-OXIDE REDUCTION BY SOIL-MICROORGANISMS</t>
  </si>
  <si>
    <t>SOIL SCIENCE SOCIETY OF AMERICA JOURNAL</t>
  </si>
  <si>
    <t>0361-5995</t>
  </si>
  <si>
    <t>1435-0661</t>
  </si>
  <si>
    <t>10.2136/sssaj1982.03615995004600010014x</t>
  </si>
  <si>
    <t>WOS:A1982NP46200013</t>
  </si>
  <si>
    <t>Castellano-Hinojosa, A; Correa-Galeote, D; González-López, J; Bedmar, EJ</t>
  </si>
  <si>
    <t>Castellano-Hinojosa, Antonio; Correa-Galeote, David; Gonzalez-Lopez, Jesus; Bedmar, Eulogio J.</t>
  </si>
  <si>
    <t>Effect of nitrogen fertilisers on nitrous oxide emission, nitrifier and denitrifier abundance and bacterial diversity in closed ecological systems</t>
  </si>
  <si>
    <t>APPLIED SOIL ECOLOGY</t>
  </si>
  <si>
    <t>Correa-Galeote, David/I-8336-2017; Castellano-Hinojosa, Antonio/P-1988-2014</t>
  </si>
  <si>
    <t>Correa-Galeote, David/0000-0002-9776-8424; Castellano-Hinojosa, Antonio/0000-0002-5785-7625</t>
  </si>
  <si>
    <t>0929-1393</t>
  </si>
  <si>
    <t>1873-0272</t>
  </si>
  <si>
    <t>10.1016/j.apsoil.2019.103380</t>
  </si>
  <si>
    <t>WOS:000495708400020</t>
  </si>
  <si>
    <t>Ro, S; Seanjan, P; Tulaphitak, T; Inubushi, K</t>
  </si>
  <si>
    <t>Ro, Sophoanrith; Seanjan, Patcharee; Tulaphitak, Thepparit; Inubushi, Kazuyuki</t>
  </si>
  <si>
    <t>Sulfate content influencing methane production and emission from incubated soil and rice-planted soil in Northeast Thailand</t>
  </si>
  <si>
    <t>INUBUSHI, Kazuyuki/I-8717-2014</t>
  </si>
  <si>
    <t>ro, sophoanrith/0000-0002-4489-7345; Inubushi, Kazuyuki/0000-0002-2230-0755</t>
  </si>
  <si>
    <t>10.1080/00380768.2011.637302</t>
  </si>
  <si>
    <t>WOS:000299013300010</t>
  </si>
  <si>
    <t>Zhao, YC; Xie, B; Gao, J; Xiao, MM; Zhao, GY</t>
  </si>
  <si>
    <t>Zhao, Yuchao; Xie, Biao; Gao, Jian; Xiao, Minmin; Zhao, Guangyong</t>
  </si>
  <si>
    <t>Balancing the dietary ratio of nitrogen to sulfur by adding inorganic sulfur improves nitrogen retention and consequently decreases urine nitrous oxide emissions in steers</t>
  </si>
  <si>
    <t>ANIMAL FEED SCIENCE AND TECHNOLOGY</t>
  </si>
  <si>
    <t>Zhao, Yuchao/HNQ-2394-2023</t>
  </si>
  <si>
    <t>Zhao, Yuchao/0000-0001-7489-2134</t>
  </si>
  <si>
    <t>0377-8401</t>
  </si>
  <si>
    <t>1873-2216</t>
  </si>
  <si>
    <t>10.1016/j.anifeedsci.2020.114711</t>
  </si>
  <si>
    <t>MAR 2021</t>
  </si>
  <si>
    <t>WOS:000634114400010</t>
  </si>
  <si>
    <t>Beauchamp, EG; Bergstrom, DW; Burton, DL</t>
  </si>
  <si>
    <t>Denitrification and nitrous oxide production in soil fallowed or under alfalfa or grass</t>
  </si>
  <si>
    <t>10.1080/00103629609369546</t>
  </si>
  <si>
    <t>WOS:A1996TT99000009</t>
  </si>
  <si>
    <t>Köster, JR; Cárdenas, L; Senbayram, M; Bol, R; Well, R; Butler, M; Mühling, KH; Dittert, K</t>
  </si>
  <si>
    <t>Koester, Jan Reent; Cardenas, Laura; Senbayram, Mehmet; Bol, Roland; Well, Reinhard; Butler, Mark; Muehling, Karl Hermann; Dittert, Klaus</t>
  </si>
  <si>
    <t>Rapid shift from denitrification to nitrification in soil after biogas residue application as indicated by nitrous oxide isotopomers</t>
  </si>
  <si>
    <t>Cardenas, Laura/HHC-2953-2022; senbayram, mehmet/AAC-4231-2021; Dittert, Klaus/AAA-8824-2019; Bol, Roland/H-9324-2013; Well, Reinhard/U-4658-2018; Muhling, Prof. Dr. Karl H./L-6443-2014</t>
  </si>
  <si>
    <t>Dittert, Klaus/0000-0003-4062-067X; Muhling, Prof. Dr. Karl H./0000-0002-9922-6581; Senbayram, Mehmet/0000-0002-5567-6580</t>
  </si>
  <si>
    <t>AUG</t>
  </si>
  <si>
    <t>10.1016/j.soilbio.2011.04.004</t>
  </si>
  <si>
    <t>WOS:000292995300007</t>
  </si>
  <si>
    <t>Deppe, M; Well, R; Kücke, M; Fuss, R; Giesemann, A; Flessa, H</t>
  </si>
  <si>
    <t>Deppe, Marianna; Well, Reinhard; Kuecke, Martin; Fuss, Roland; Giesemann, Anette; Flessa, Heinz</t>
  </si>
  <si>
    <t>Impact of CULTAN fertilization with ammonium sulfate on field emissions of nitrous oxide</t>
  </si>
  <si>
    <t>AGRICULTURE ECOSYSTEMS &amp; ENVIRONMENT</t>
  </si>
  <si>
    <t>Flessa, Heinz/N-8427-2013; Well, Reinhard/U-4658-2018; Fuss, Roland/F-3866-2011</t>
  </si>
  <si>
    <t>Kuecke, Martin/0000-0001-6463-422X; Fuss, Roland/0000-0002-0274-0809</t>
  </si>
  <si>
    <t>0167-8809</t>
  </si>
  <si>
    <t>1873-2305</t>
  </si>
  <si>
    <t>10.1016/j.agee.2015.12.015</t>
  </si>
  <si>
    <t>WOS:000370100800015</t>
  </si>
  <si>
    <t>Tenuta, M; Beauchamp, EG</t>
  </si>
  <si>
    <t>Nitrous oxide production from granular nitrogen fertilizers applied to a silt loam</t>
  </si>
  <si>
    <t>NOV</t>
  </si>
  <si>
    <t>10.4141/S02-062</t>
  </si>
  <si>
    <t>WOS:000188647700005</t>
  </si>
  <si>
    <t>McTaggart, IP; Tsuruta, H</t>
  </si>
  <si>
    <t>The influence of controlled release fertilisers and the form of applied fertiliser nitrogen on nitrous oxide emissions from an andosol</t>
  </si>
  <si>
    <t>10.1023/A:1025108911676</t>
  </si>
  <si>
    <t>WOS:000184736900006</t>
  </si>
  <si>
    <t>Wang, HT; Oertelt, L; Dittert, K</t>
  </si>
  <si>
    <t>Wang, Haitao; Oertelt, Lukas; Dittert, Klaus</t>
  </si>
  <si>
    <t>The addition of magnesium sulfate and borax to urea reduced soil NH3 emissions but increased N2O emissions from soil with grass</t>
  </si>
  <si>
    <t>Dittert, Klaus/AAA-8824-2019; Wang, Haitao/B-3586-2019</t>
  </si>
  <si>
    <t>Dittert, Klaus/0000-0003-4062-067X</t>
  </si>
  <si>
    <t>JAN 10</t>
  </si>
  <si>
    <t>10.1016/j.scitotenv.2021.149902</t>
  </si>
  <si>
    <t>SEP 2021</t>
  </si>
  <si>
    <t>WOS:000702878700003</t>
  </si>
  <si>
    <t>Smith, KA; Dobbie, KE; Thorman, R; Watson, CJ; Chadwick, DR; Yamulki, S; Ball, BC</t>
  </si>
  <si>
    <t>Smith, Keith A.; Dobbie, Karen E.; Thorman, Rachel; Watson, Catherine J.; Chadwick, David R.; Yamulki, Sirwan; Ball, Bruce C.</t>
  </si>
  <si>
    <t>The effect of N fertilizer forms on nitrous oxide emissions from UK arable land and grassland</t>
  </si>
  <si>
    <t>Watson, Catherine/JAD-1936-2023; Thorman, Rachel/KBQ-5776-2024</t>
  </si>
  <si>
    <t>Thorman, Rachel/0000-0001-7175-2005</t>
  </si>
  <si>
    <t>10.1007/s10705-012-9505-1</t>
  </si>
  <si>
    <t>WOS:000305962000002</t>
  </si>
  <si>
    <t>MOSIER, AR; GUENZI, WD; SCHWEIZER, EE</t>
  </si>
  <si>
    <t>SOIL LOSSES OF DINITROGEN AND NITROUS-OXIDE FROM IRRIGATED CROPS IN NORTHEASTERN COLORADO</t>
  </si>
  <si>
    <t>MAR-APR</t>
  </si>
  <si>
    <t>10.2136/sssaj1986.03615995005000020018x</t>
  </si>
  <si>
    <t>WOS:A1986C037200018</t>
  </si>
  <si>
    <t>Mäkelä, M; Kabir, KMJ; Kanerva, S; Yli-Halla, M; Simojoki, A</t>
  </si>
  <si>
    <t>Makela, Minna; Kabir, Kazi Md Jahangir; Kanerva, Sanna; Yli-Halla, Markku; Simojoki, Asko</t>
  </si>
  <si>
    <t>Factors limiting microbial N2O and CO2 production in a cultivated peatland overlying an acid sulphate subsoil derived from black schist</t>
  </si>
  <si>
    <t>Yli-Halla, Markku/B-5567-2015; Mäkelä, Minna/AAQ-5517-2021; Kabir, Kazi Meharajul/L-4193-2017; Simojoki, Asko/Y-8194-2019</t>
  </si>
  <si>
    <t>Kanerva, Sanna Mari/0000-0002-2307-4892; Yli-Halla, Markku/0000-0002-8062-7019; Simojoki, Asko/0000-0003-2397-3553; Makela, Minna/0000-0001-8238-7007</t>
  </si>
  <si>
    <t>10.1016/j.geoderma.2021.115444</t>
  </si>
  <si>
    <t>WOS:000703712100031</t>
  </si>
  <si>
    <t>Mansfeldt, T</t>
  </si>
  <si>
    <t>Redox potential of bulk soil and soil solution concentration of nitrate, manganese, iron, and sulfate in two Gleysols</t>
  </si>
  <si>
    <t>JOURNAL OF PLANT NUTRITION AND SOIL SCIENCE</t>
  </si>
  <si>
    <t>Mansfeldt, Tim/I-8337-2017</t>
  </si>
  <si>
    <t>Dr. Mansfeldt, Tim/0000-0002-7557-6827</t>
  </si>
  <si>
    <t>1436-8730</t>
  </si>
  <si>
    <t>1522-2624</t>
  </si>
  <si>
    <t>10.1002/jpln.200321204</t>
  </si>
  <si>
    <t>WOS:000189158000001</t>
  </si>
  <si>
    <t>Wang, XM; Hu, MJ; Ren, HC; Li, JB; Tong, C; Musenze, RS</t>
  </si>
  <si>
    <t>Wang, Xuming; Hu, Minjie; Ren, Hongchang; Li, Jiabing; Tong, Chuan; Musenze, Ronald S.</t>
  </si>
  <si>
    <t>Seasonal variations of nitrous oxide fluxes and soil denitrification rates in subtropical freshwater and brackish tidal marshes of the Min River estuary</t>
  </si>
  <si>
    <t>Hu, Minjie/AAP-4915-2020</t>
  </si>
  <si>
    <t>Musenze, Ronald/0000-0002-9919-8138; Wang, Xuming/0000-0001-5291-9332</t>
  </si>
  <si>
    <t>10.1016/j.scitotenv.2017.10.175</t>
  </si>
  <si>
    <t>WOS:000424121800140</t>
  </si>
  <si>
    <t>Galdos, MV; Soares, JR; Loureno, KS; Harris, P; Zeri, M; Cunha-Zeri, G; Vargas, VP; Degaspari, IAM; Cantarella, H</t>
  </si>
  <si>
    <t>Galdos, M. V.; Soares, J. R.; Lourenco, K. S.; Harris, P.; Zeri, M.; Cunha-Zeri, G.; Vargas, V. P.; Degaspari, I. A. M.; Cantarella, H.</t>
  </si>
  <si>
    <t>Multi-experiment assessment of soil nitrous oxide emissions in sugarcane</t>
  </si>
  <si>
    <t>Degaspari, Iracema/R-9708-2019; Soares, Johnny/AAE-9637-2021; Cunha-Zeri, Gisleine/V-3303-2017; Harris, Paul/AAG-9259-2020; Cantarella, Heitor/B-1699-2018; Valadares Galdos, Marcelo/C-3137-2012</t>
  </si>
  <si>
    <t>Valadares Galdos, Marcelo/0000-0002-6080-0726; Silva Lourenco, Kesia/0000-0003-2288-7960; Degaspari, Iracema/0000-0003-2302-8164; Cunha-Zeri, Gisleine/0000-0001-9842-6891; Harris, Paul/0000-0003-0259-4079</t>
  </si>
  <si>
    <t>10.1007/s10705-023-10321-w</t>
  </si>
  <si>
    <t>OCT 2023</t>
  </si>
  <si>
    <t>WOS:001087541000001</t>
  </si>
  <si>
    <t>Velthof, GL; Oenema, O; Postma, R; VanBeusichem, ML</t>
  </si>
  <si>
    <t>Effects of type and amount of applied nitrogen fertilizer on nitrous oxide fluxes from intensively managed grassland</t>
  </si>
  <si>
    <t>Oenema, Oene/ABI-5456-2022</t>
  </si>
  <si>
    <t>Velthof, Gerard/0000-0003-0838-5622</t>
  </si>
  <si>
    <t>10.1007/BF00420561</t>
  </si>
  <si>
    <t>WOS:A1996WN69900012</t>
  </si>
  <si>
    <t>Wang, Q; Hu, HW; Shen, JP; Du, S; Zhang, LM; He, JZ; Han, LL</t>
  </si>
  <si>
    <t>Wang, Qing; Hu, Hang-Wei; Shen, Ju-Pei; Du, Shuai; Zhang, Li-Mei; He, Ji-Zheng; Han, Li-Li</t>
  </si>
  <si>
    <t>Effects of the nitrification inhibitor dicyandiamide (DCD) on N2Oemissions and the abundance of nitrifiers and denitrifiers in two contrasting agricultural soils</t>
  </si>
  <si>
    <t>Shen, Jupei/HNP-7269-2023; Hu, Hang-Wei/N-1581-2017; Zhang, Limei/N-2670-2017; He, Ji-Zheng/A-4488-2009</t>
  </si>
  <si>
    <t>Zhang, Limei/0000-0002-7383-8475; He, Ji-Zheng/0000-0002-9169-8058; Shen, Jupei/0000-0003-3383-1321</t>
  </si>
  <si>
    <t>10.1007/s11368-016-1633-9</t>
  </si>
  <si>
    <t>WOS:000401436200011</t>
  </si>
  <si>
    <t>Wu, D; Cárdenas, LM; Calvet, S; Brüggemann, N; Loick, N; Liu, SR; Bol, R</t>
  </si>
  <si>
    <t>Wu, Di; Cardenas, Laura M.; Calvet, Salvador; Brueggemann, Nicolas; Loick, Nadine; Liu, Shurong; Bol, Roland</t>
  </si>
  <si>
    <t>The effect of nitrification inhibitor on N2O, NO and N2 emissions under different soil moisture levels in a permanent grassland soil</t>
  </si>
  <si>
    <t>WU, Di/AAG-4235-2019; Loick, Nadine/M-4313-2019; Cardenas, Laura/HHC-2953-2022; Liu, Shurong/AAE-7066-2019; Bol, Roland/H-9324-2013; Calvet, Salvador/K-5159-2014; Bruggemann, Nicolas/C-4263-2014</t>
  </si>
  <si>
    <t>Loick, Nadine/0000-0001-5316-5552; Calvet, Salvador/0000-0001-6639-9892; Bruggemann, Nicolas/0000-0003-3851-2418</t>
  </si>
  <si>
    <t>10.1016/j.soilbio.2017.06.007</t>
  </si>
  <si>
    <t>WOS:000407536200017</t>
  </si>
  <si>
    <t>Zhao, BW; Nan, XJ; Xu, H; Zhang, T; Ma, FF</t>
  </si>
  <si>
    <t>Zhao, Baowei; Nan, Xujun; Xu, Huan; Zhang, Tao; Ma, Fengfeng</t>
  </si>
  <si>
    <t>Sulfate sorption on rape (Brassica campestris L.) straw biochar, loess soil and a biochar-soil mixture</t>
  </si>
  <si>
    <t>JOURNAL OF ENVIRONMENTAL MANAGEMENT</t>
  </si>
  <si>
    <t>0301-4797</t>
  </si>
  <si>
    <t>1095-8630</t>
  </si>
  <si>
    <t>OCT 1</t>
  </si>
  <si>
    <t>10.1016/j.jenvman.2017.06.064</t>
  </si>
  <si>
    <t>WOS:000407662000034</t>
  </si>
  <si>
    <t>Augustenborg, CA; Hepp, S; Kammann, C; Hagan, D; Schmidt, O; Müller, C</t>
  </si>
  <si>
    <t>Augustenborg, Cara A.; Hepp, Simone; Kammann, Claudia; Hagan, David; Schmidt, Olaf; Mueller, Christoph</t>
  </si>
  <si>
    <t>Biochar and Earthworm Effects on Soil Nitrous Oxide and Carbon Dioxide Emissions</t>
  </si>
  <si>
    <t>JOURNAL OF ENVIRONMENTAL QUALITY</t>
  </si>
  <si>
    <t>Müller, Christoph/F-9521-2010; Kammann, Claudia/B-1533-2013; Schmidt, Olaf/A-9670-2008</t>
  </si>
  <si>
    <t>Schmidt, Olaf/0000-0003-0098-7960; Augustenborg, Cara/0000-0002-7643-9170</t>
  </si>
  <si>
    <t>0047-2425</t>
  </si>
  <si>
    <t>1537-2537</t>
  </si>
  <si>
    <t>JUL</t>
  </si>
  <si>
    <t>10.2134/jeq2011.0119</t>
  </si>
  <si>
    <t>WOS:000305966900025</t>
  </si>
  <si>
    <t>Ottaiano, L; Di Mola, I; Di Tommasi, P; Mori, M; Magliulo, V; Vitale, L</t>
  </si>
  <si>
    <t>Ottaiano, Lucia; Di Mola, Ida; Di Tommasi, Paul; Mori, Mauro; Magliulo, Vincenzo; Vitale, Luca</t>
  </si>
  <si>
    <t>Effects of Irrigation on N2O Emissions in a Maize Crop Grown on Different Soil Types in Two Contrasting Seasons</t>
  </si>
  <si>
    <t>AGRICULTURE-BASEL</t>
  </si>
  <si>
    <t>Vitale, Luca/J-3132-2015</t>
  </si>
  <si>
    <t>vitale, luca/0000-0002-7637-264X; Di Mola, Ida/0000-0001-7259-5953; OTTAIANO, Lucia/0000-0002-1596-203X; Di Tommasi, Paul/0000-0003-1391-3231</t>
  </si>
  <si>
    <t>2077-0472</t>
  </si>
  <si>
    <t>10.3390/agriculture10120623</t>
  </si>
  <si>
    <t>WOS:000601797800001</t>
  </si>
  <si>
    <t>Fan, JL; Xu, YH; Chen, ZM; Xiao, J; Liu, DY; Luo, JF; Bolan, N; Ding, WX</t>
  </si>
  <si>
    <t>Fan, Jianling; Xu, Yehong; Chen, Zengming; Xiao, Jiao; Liu, Deyan; Luo, Jiafa; Bolan, Nanthi; Ding, Weixin</t>
  </si>
  <si>
    <t>Deyan, Liu/AAZ-2671-2020; Fan, Jianling/AAQ-2614-2021; Bolan, Nanthi/E-8535-2011; Chen, Zengming/M-4618-2017</t>
  </si>
  <si>
    <t>Luo, Jiafa/0000-0001-6198-6887; Bolan, Nanthi/0000-0003-2056-1692; Chen, Zengming/0000-0001-5017-4939; Fan, Jianling/0000-0003-3048-2621; Xu, Yehong/0000-0002-7633-7115</t>
  </si>
  <si>
    <t>FEB 15</t>
  </si>
  <si>
    <t>10.1016/j.agrformet.2016.11.017</t>
  </si>
  <si>
    <t>WOS:000393259400015</t>
  </si>
  <si>
    <t>Carneiro, J; Cardenas, LM; Hatch, DJ; Trindade, H; Scholefield, D; Clegg, CD; Hobbs, P</t>
  </si>
  <si>
    <t>Carneiro, J.; Cardenas, L. M.; Hatch, D. J.; Trindade, H.; Scholefield, D.; Clegg, C. D.; Hobbs, P.</t>
  </si>
  <si>
    <t>Effect of the nitrification inhibitor dicyandiamide on microbial communities and N2O from an arable soil fertilized with ammonium sulphate</t>
  </si>
  <si>
    <t>ENVIRONMENTAL CHEMISTRY LETTERS</t>
  </si>
  <si>
    <t>Cardenas, Laura/HHC-2953-2022; Trindade, Henrique/A-5693-2013</t>
  </si>
  <si>
    <t>Carneiro, Joao/0000-0002-9998-7815; Trindade, Henrique/0000-0001-8208-6204</t>
  </si>
  <si>
    <t>1610-3653</t>
  </si>
  <si>
    <t>1610-3661</t>
  </si>
  <si>
    <t>10.1007/s10311-009-0212-3</t>
  </si>
  <si>
    <t>WOS:000281597500005</t>
  </si>
  <si>
    <t>Senbayram, M; Chen, RR; Mühling, KH; Dittert, K</t>
  </si>
  <si>
    <t>Senbayram, Mehmet; Chen, Ruirui; Muehling, Karl H.; Dittert, Klaus</t>
  </si>
  <si>
    <t>Contribution of nitrification and denitrification to nitrous oxide emissions from soils after application of biogas waste and other fertilizers</t>
  </si>
  <si>
    <t>RAPID COMMUNICATIONS IN MASS SPECTROMETRY</t>
  </si>
  <si>
    <t>2nd Joint European Stable Isotope User Meeting (JESIUM)</t>
  </si>
  <si>
    <t>AUG 31-SEP 05, 2008</t>
  </si>
  <si>
    <t>Presquile de Giens, FRANCE</t>
  </si>
  <si>
    <t>Dittert, Klaus/AAA-8824-2019; senbayram, mehmet/AAC-4231-2021; chen, ruirui/KVA-8431-2024; Muhling, Prof. Dr. Karl H./L-6443-2014</t>
  </si>
  <si>
    <t>Dittert, Klaus/0000-0003-4062-067X; Senbayram, Mehmet/0000-0002-5567-6580; Muhling, Prof. Dr. Karl H./0000-0002-9922-6581</t>
  </si>
  <si>
    <t>0951-4198</t>
  </si>
  <si>
    <t>1097-0231</t>
  </si>
  <si>
    <t>10.1002/rcm.4067</t>
  </si>
  <si>
    <t>WOS:000268724600014</t>
  </si>
  <si>
    <t>Saha, G; Kar, B; Karmakar, S</t>
  </si>
  <si>
    <t>Saha, G.; Kar, B.; Karmakar, S.</t>
  </si>
  <si>
    <t>Methane and nitrous oxide emission from Kharif rice field as influenced by nutrients and moisture regimes in new alluvial agroclimatic region of West Bengal</t>
  </si>
  <si>
    <t>CURRENT SCIENCE</t>
  </si>
  <si>
    <t>0011-3891</t>
  </si>
  <si>
    <t>MAR 10</t>
  </si>
  <si>
    <t>10.18520/cs/v112/i05/989-995</t>
  </si>
  <si>
    <t>WOS:000398131300020</t>
  </si>
  <si>
    <t>SHOJI, S; KANNO, H</t>
  </si>
  <si>
    <t>USE OF POLYOELFIN-COATED FERTILIZERS FOR INCREASING FERTILIZER EFFICIENCY AND REDUCING NITRATE LEACHING AND NITROUS-OXIDE EMISSIONS</t>
  </si>
  <si>
    <t>FERTILIZER RESEARCH</t>
  </si>
  <si>
    <t>0167-1731</t>
  </si>
  <si>
    <t>10.1007/BF00750913</t>
  </si>
  <si>
    <t>WOS:A1994QB65400008</t>
  </si>
  <si>
    <t>Menéndez, S; Barrena, I; Setien, I; González-Murua, C; Estavillo, JM</t>
  </si>
  <si>
    <t>Menendez, Sergio; Barrena, Iskander; Setien, Igor; Gonzalez-Murua, Carmen; Maria Estavillo, Jose</t>
  </si>
  <si>
    <t>Efficiency of nitrification inhibitor DMPP to reduce nitrous oxide emissions under different temperature and moisture conditions</t>
  </si>
  <si>
    <t>ESTAVILLO, José-María/P-5711-2019; Menendez, Sergio/J-9373-2014; Gonzalez-Murua, Carmen/J-2968-2012</t>
  </si>
  <si>
    <t>Menendez, Sergio/0000-0002-2245-9088; ESTAVILLO, Jose-Maria/0000-0002-3986-8005; Bastias, Elizabeth/0009-0006-0675-1181; Gonzalez-Murua, Carmen/0000-0003-0310-5804</t>
  </si>
  <si>
    <t>10.1016/j.soilbio.2012.04.026</t>
  </si>
  <si>
    <t>WOS:000307141400012</t>
  </si>
  <si>
    <t>Ramazanoglu, E; Almarie, V; Suzer, MH; Shan, J; Wei, ZJ; Cullu, MA; Bol, R; Senbayram, M</t>
  </si>
  <si>
    <t>Ramazanoglu, Emrah; Almarie, Vasan; Suzer, Mehmet Hadi; Shan, Jun; Wei, Zhijun; Cullu, Mehmet Ali; Bol, Roland; Senbayram, Mehmet</t>
  </si>
  <si>
    <t>Interactive effects of soil salinity and nitrogen fertilizer types on nitrous oxide and ammonia fluxes</t>
  </si>
  <si>
    <t>GEODERMA REGIONAL</t>
  </si>
  <si>
    <t>Suzer, Mehmet/A-6747-2018; Ramazanoglu, Emrah/ABS-5315-2022; Çullu, MEHMET/ABG-5807-2020; senbayram, mehmet/AAC-4231-2021; Shan, Jun/G-2949-2011; Bol, Roland/H-9324-2013</t>
  </si>
  <si>
    <t>SUZER, MEHMET HADI/0000-0002-0083-8757; Wei, Zhijun/0000-0003-4991-5909</t>
  </si>
  <si>
    <t>2352-0094</t>
  </si>
  <si>
    <t>e00831</t>
  </si>
  <si>
    <t>10.1016/j.geodrs.2024.e00831</t>
  </si>
  <si>
    <t>JUL 2024</t>
  </si>
  <si>
    <t>WOS:001267217900001</t>
  </si>
  <si>
    <t>FRENEY, JR; DENMEAD, OT; WATANABE, I; CRASWELL, ET</t>
  </si>
  <si>
    <t>AMMONIA AND NITROUS-OXIDE LOSSES FOLLOWING APPLICATIONS OF AMMONIUM-SULFATE TO FLOODED RICE</t>
  </si>
  <si>
    <t>AUSTRALIAN JOURNAL OF AGRICULTURAL RESEARCH</t>
  </si>
  <si>
    <t>Freney, John/E-9462-2011; Denmead, Owen/A-7087-2009</t>
  </si>
  <si>
    <t>0004-9409</t>
  </si>
  <si>
    <t>1836-5795</t>
  </si>
  <si>
    <t>10.1071/AR9810037</t>
  </si>
  <si>
    <t>WOS:A1981LB54000005</t>
  </si>
  <si>
    <t>Rahman, N; Forrestal, PJ</t>
  </si>
  <si>
    <t>Rahman, Niharika; Forrestal, Patrick J.</t>
  </si>
  <si>
    <t>Ammonium Fertilizer Reduces Nitrous Oxide Emission Compared to Nitrate Fertilizer While Yielding Equally in a Temperate Grassland</t>
  </si>
  <si>
    <t>Rahman, Niharika/AGU-7173-2022</t>
  </si>
  <si>
    <t>Forresal, Patrick/0000-0003-1023-1948; Rahman, Niharika/0000-0001-6029-7369</t>
  </si>
  <si>
    <t>10.3390/agriculture11111141</t>
  </si>
  <si>
    <t>WOS:000725848100001</t>
  </si>
  <si>
    <t>Taghizadeh-Toosi, A; Clough, T; Petersen, SO; Elsgaard, L</t>
  </si>
  <si>
    <t>Taghizadeh-Toosi, Arezoo; Clough, Tim; Petersen, Soren O.; Elsgaard, Lars</t>
  </si>
  <si>
    <t>Nitrous Oxide Dynamics in Agricultural Peat Soil in Response to Availability of Nitrate, Nitrite, and Iron Sulfides</t>
  </si>
  <si>
    <t>GEOMICROBIOLOGY JOURNAL</t>
  </si>
  <si>
    <t>Taghizadeh-Toosi, Arezoo/C-2858-2016; Elsgaard, Lars/A-7698-2013; Clough, Tim/Q-4982-2018</t>
  </si>
  <si>
    <t>Elsgaard, Lars/0000-0003-0058-7609; Clough, Tim/0000-0002-5978-5274; Taghizadeh-Toosi, Arezoo/0000-0002-5166-0741</t>
  </si>
  <si>
    <t>0149-0451</t>
  </si>
  <si>
    <t>1521-0529</t>
  </si>
  <si>
    <t>JAN 2</t>
  </si>
  <si>
    <t>10.1080/01490451.2019.1666192</t>
  </si>
  <si>
    <t>SEP 2019</t>
  </si>
  <si>
    <t>WOS:000487608500001</t>
  </si>
  <si>
    <t>Sulaeman, Y; Maftuah, E; Noor, M; Hairani, A; Nurzakiah, S; Mukhlis, M; Anwar, K; Fahmi, A; Saleh, M; Khairullah, I; Rumanti, IA; Alwi, M; Noor, A; Ningsih, RD</t>
  </si>
  <si>
    <t>Sulaeman, Yiyi; Maftuah, Eni; Noor, Muhammad; Hairani, Anna; Nurzakiah, Siti; Mukhlis, Mukhlis; Anwar, Khairil; Fahmi, Arifin; Saleh, Muhammad; Khairullah, Izhar; Rumanti, Indrastuti Apri; Alwi, Muhammad; Noor, Aidi; Ningsih, Rina Dirgahayu</t>
  </si>
  <si>
    <t>Coastal Acid-Sulfate Soils of Kalimantan, Indonesia, for Food Security: Characteristics, Management, and Future Directions</t>
  </si>
  <si>
    <t>RESOURCES-BASEL</t>
  </si>
  <si>
    <t>Noor, Muhammad/C-7453-2009; Rumanti, Indrastuti/LFV-0179-2024; SULAEMAN, YIYI/H-1409-2011</t>
  </si>
  <si>
    <t>Rumanti, Indrastuti/0000-0001-7908-5358; SULAEMAN, YIYI/0000-0001-5792-2629</t>
  </si>
  <si>
    <t>2079-9276</t>
  </si>
  <si>
    <t>10.3390/resources13030036</t>
  </si>
  <si>
    <t>WOS:001192733900001</t>
  </si>
  <si>
    <t>Clayton, H; McTaggart, IP; Parker, J; Swan, L; Smith, KA</t>
  </si>
  <si>
    <t>Nitrous oxide emissions from fertilised grassland: A 2-year study of the effects of N fertiliser form and environmental conditions</t>
  </si>
  <si>
    <t>BIOLOGY AND FERTILITY OF SOILS</t>
  </si>
  <si>
    <t>0178-2762</t>
  </si>
  <si>
    <t>10.1007/s003740050311</t>
  </si>
  <si>
    <t>WOS:A1997XY71000006</t>
  </si>
  <si>
    <t>Mazzetto, AM; Styles, D; Gibbons, J; Arndt, C; Misselbrook, T; Chadwick, D</t>
  </si>
  <si>
    <t>Mazzetto, Andre M.; Styles, David; Gibbons, James; Arndt, Claudia; Misselbrook, T.; Chadwick, Dave</t>
  </si>
  <si>
    <t>Region-specific emission factors for Brazil increase the estimate of nitrous oxide emissions from nitrogen fertiliser application by 21%</t>
  </si>
  <si>
    <t>ATMOSPHERIC ENVIRONMENT</t>
  </si>
  <si>
    <t>Misselbrook, Tom/N-2385-2014; Chadwick, David/KBQ-6266-2024; Arndt, Claudia/F-1648-2019; Mazzetto, André/E-6841-2015</t>
  </si>
  <si>
    <t>Mazzetto, Andre/0000-0002-1501-0303; Arndt, Claudia/0000-0002-6276-1097; Styles, David/0000-0003-4185-4478</t>
  </si>
  <si>
    <t>1352-2310</t>
  </si>
  <si>
    <t>1873-2844</t>
  </si>
  <si>
    <t>JUN 1</t>
  </si>
  <si>
    <t>10.1016/j.atmosenv.2020.117506</t>
  </si>
  <si>
    <t>WOS:000537838300018</t>
  </si>
  <si>
    <t>Pereira, J; Coutinho, J; Fangueiro, D; Trindade, H</t>
  </si>
  <si>
    <t>Pereira, Jose; Coutinho, Joao; Fangueiro, David; Trindade, Henrique</t>
  </si>
  <si>
    <t>Nitric oxide and nitrous oxide emissions from cattle-slurry and mineral fertiliser treated with nitrification inhibitor to an agricultural soil: A laboratory approach</t>
  </si>
  <si>
    <t>SPANISH JOURNAL OF AGRICULTURAL RESEARCH</t>
  </si>
  <si>
    <t>Fangueiro, David/C-3876-2009; Pereira, José/E-4375-2012; Trindade, Henrique/A-5693-2013; coutinho, joao/I-6236-2015</t>
  </si>
  <si>
    <t>Fangueiro, David/0000-0002-6101-9210; Trindade, Henrique/0000-0001-8208-6204; coutinho, joao/0000-0002-6303-9549</t>
  </si>
  <si>
    <t>1695-971X</t>
  </si>
  <si>
    <t>10.5424/sjar/2015134-7622</t>
  </si>
  <si>
    <t>WOS:000367022100009</t>
  </si>
  <si>
    <t>Ratering, S; Conrad, R</t>
  </si>
  <si>
    <t>Effects of short-term drainage and aeration on the production of methane in submerged rice soil</t>
  </si>
  <si>
    <t>GLOBAL CHANGE BIOLOGY</t>
  </si>
  <si>
    <t>Ratering, Stefan/N-9437-2013</t>
  </si>
  <si>
    <t>Ratering, Stefan/0000-0001-7572-6306</t>
  </si>
  <si>
    <t>1354-1013</t>
  </si>
  <si>
    <t>1365-2486</t>
  </si>
  <si>
    <t>10.1046/j.1365-2486.1998.00162.x</t>
  </si>
  <si>
    <t>WOS:000073392600004</t>
  </si>
  <si>
    <t>Li, X; Inubushi, K; Sakamoto, K</t>
  </si>
  <si>
    <t>Nitrous oxide concentrations in an Andisol profile and emissions to the atmosphere as influenced by the application of nitrogen fertilizers and manure</t>
  </si>
  <si>
    <t>Sakamoto, Kazunori/R-8728-2019; INUBUSHI, Kazuyuki/I-8717-2014</t>
  </si>
  <si>
    <t>Inubushi, Kazuyuki/0000-0002-2230-0755</t>
  </si>
  <si>
    <t>10.1007/s00374-002-0447-7</t>
  </si>
  <si>
    <t>WOS:000175329600007</t>
  </si>
  <si>
    <t>Vano, I; Matsushima, M; Tang, C; Inubushi, K</t>
  </si>
  <si>
    <t>Vano, Imre; Matsushima, Miwa; Tang, Changyuan; Inubushi, Kazuyuki</t>
  </si>
  <si>
    <t>Effects of peat moss and sawdust compost applications on N2O emission and N leaching in blueberry cultivating soils</t>
  </si>
  <si>
    <t>INUBUSHI, Kazuyuki/I-8717-2014; Yashima, Miwa/JZT-1933-2024</t>
  </si>
  <si>
    <t>PII 937992529</t>
  </si>
  <si>
    <t>10.1080/00380768.2011.574596</t>
  </si>
  <si>
    <t>WOS:000290969900019</t>
  </si>
  <si>
    <t>Cai, ZC; Xing, GX; Yan, XY; Xu, H; Tsuruta, H; Yagi, K; Minami, K</t>
  </si>
  <si>
    <t>Methane and nitrous oxide emissions from rice paddy fields as affected by nitrogen fertilisers and water management</t>
  </si>
  <si>
    <t>Tsuruta, Haruo/M-7657-2014; yan, xiao yuan/M-9840-2016</t>
  </si>
  <si>
    <t>yan, xiao yuan/0000-0001-8645-4836</t>
  </si>
  <si>
    <t>10.1023/A:1004263405020</t>
  </si>
  <si>
    <t>WOS:A1997YL66500002</t>
  </si>
  <si>
    <t>WagnerRiddle, C; Thurtell, GW; King, KM; Kidd, GE; Beauchamp, EG</t>
  </si>
  <si>
    <t>Nitrous oxide and carbon dioxide fluxes from a bare soil using a micrometeorological approach</t>
  </si>
  <si>
    <t>Wagner-Riddle, Claudia/F-9728-2015</t>
  </si>
  <si>
    <t>Wagner-Riddle, Claudia/0000-0002-4802-6088</t>
  </si>
  <si>
    <t>JUL-AUG</t>
  </si>
  <si>
    <t>10.2134/jeq1996.00472425002500040035x</t>
  </si>
  <si>
    <t>WOS:A1996UX56900061</t>
  </si>
  <si>
    <t>Kirkby, R; Friedl, J; De Rosa, D; Clough, TJ; Rowlings, DW; Grace, PR</t>
  </si>
  <si>
    <t>Kirkby, Robert; Friedl, Johannes; De Rosa, Daniele; Clough, Timothy J.; Rowlings, David W.; Grace, Peter R.</t>
  </si>
  <si>
    <t>Hybrid pathways of denitrification drive N2O but not N2 emissions from an acid-sulphate sugarcane soil</t>
  </si>
  <si>
    <t>De Rosa, Daniele/ABI-4308-2020; Grace, Peter/F-3743-2012; Friedl, Johannes/AAR-9660-2020; Clough, Tim/Q-4982-2018; Rowlings, David/J-1106-2012</t>
  </si>
  <si>
    <t>De Rosa, Daniele/0000-0002-0441-7722; Friedl, Johannes/0000-0003-0468-916X; Clough, Tim/0000-0002-5978-5274; Grace, Peter/0000-0003-4136-4129; Rowlings, David/0000-0002-1618-9309</t>
  </si>
  <si>
    <t>1432-0789</t>
  </si>
  <si>
    <t>10.1007/s00374-023-01783-9</t>
  </si>
  <si>
    <t>JAN 2024</t>
  </si>
  <si>
    <t>WOS:001137707800001</t>
  </si>
  <si>
    <t>SMITH, CJ; PATRICK, WH</t>
  </si>
  <si>
    <t>NITROUS-OXIDE EMISSION AS AFFECTED BY ALTERNATE ANAEROBIC AND AEROBIC CONDITIONS FROM SOIL SUSPENSIONS ENRICHED WITH AMMONIUM-SULFATE</t>
  </si>
  <si>
    <t>Smith, Chris/F-9103-2013</t>
  </si>
  <si>
    <t>Smith, Chris/0000-0002-1087-9093</t>
  </si>
  <si>
    <t>10.1016/0038-0717(83)90034-2</t>
  </si>
  <si>
    <t>WOS:A1983RV57000010</t>
  </si>
  <si>
    <t>Macdonald, BCT; Denmead, OT; White, I; Byrant, G</t>
  </si>
  <si>
    <t>Macdonald, B. C. T.; Denmead, O. T.; White, I.; Byrant, G.</t>
  </si>
  <si>
    <t>Gaseous Nitrogen Losses from Coastal Acid Sulfate Soils: A Short-Term Study</t>
  </si>
  <si>
    <t>Denmead, Owen/A-7087-2009; Macdonald, Ben/G-1078-2012</t>
  </si>
  <si>
    <t>Macdonald, Ben/0000-0001-8105-0779</t>
  </si>
  <si>
    <t>10.1016/S1002-0160(11)60118-5</t>
  </si>
  <si>
    <t>WOS:000288777700008</t>
  </si>
  <si>
    <t>Bronson, KF; Neue, HU; Singh, U; Abao, EB</t>
  </si>
  <si>
    <t>Automated chamber measurements of methane and nitrous oxide flux in a flooded rice soil .1. Residue, nitrogen, and water management</t>
  </si>
  <si>
    <t>MAY-JUN</t>
  </si>
  <si>
    <t>10.2136/sssaj1997.03615995006100030038x</t>
  </si>
  <si>
    <t>WOS:A1997XC99600038</t>
  </si>
  <si>
    <t>Mori, A; Hojito, M; Shimizu, M; Matsuura, S; Miyaji, T; Hatano, R</t>
  </si>
  <si>
    <t>Mori, Akinori; Hojito, Masayuki; Shimizu, Mariko; Matsuura, Shoji; Miyaji, Tomoko; Hatano, Ryusuke</t>
  </si>
  <si>
    <t>N2O and CH4 fluxes from a volcanic grassland soil in Nasu, Japan:: Comparison between manure plus fertilizer plot and fertilizer-only plot</t>
  </si>
  <si>
    <t>Hatano, Ryusuke/A-5113-2012</t>
  </si>
  <si>
    <t>Hatano, Ryusuke/0000-0002-2261-1799</t>
  </si>
  <si>
    <t>10.1111/j.1747-0765.2008.00270.x</t>
  </si>
  <si>
    <t>WOS:000258430400015</t>
  </si>
  <si>
    <t>C</t>
  </si>
  <si>
    <t>Patra, AK; Banerjee, NK; Chhonkar, PK</t>
  </si>
  <si>
    <t>VanHam, J; Baede, APM; Guicherit, R; WilliamsJacobse, JGF</t>
  </si>
  <si>
    <t>Denitrification and emission of N2O from different soils and 15N labelled fertilizers under anaerobic rice culture</t>
  </si>
  <si>
    <t>NON-C02 GREENHOUSE GASES: SCIENTIFIC UNDERSTANDING, CONTROL OPTIONS AND POLICY ASPECTS</t>
  </si>
  <si>
    <t>3rd International Symposium on Non-CO2 Greenhouse Gases</t>
  </si>
  <si>
    <t>JAN 21-23, 2002</t>
  </si>
  <si>
    <t>MAASTRICHT, NETHERLANDS</t>
  </si>
  <si>
    <t>Netherlands Assoc Environm Profess,VVM, Sect Clean Air,European Federat Clean Air,Environm Protect Assoc</t>
  </si>
  <si>
    <t>PATRA, ASHOK/AAI-4898-2020</t>
  </si>
  <si>
    <t>Patra, Ashok/0000-0003-0513-2267</t>
  </si>
  <si>
    <t>90-77017-70-4</t>
  </si>
  <si>
    <t>WOS:000181977700037</t>
  </si>
  <si>
    <t>Hoa, HTT; Thuc, DD; Sen, TT</t>
  </si>
  <si>
    <t>Hoang Thi Thai Hoa; Do Dinh Thuc; Trinh Thi Sen</t>
  </si>
  <si>
    <t>Nitrogen Fertilization Management and Nitrous Oxide Emission in Lettuce Vegetable Fields in Central Vietnam</t>
  </si>
  <si>
    <t>INTERNATIONAL JOURNAL OF AGRICULTURE AND BIOLOGY</t>
  </si>
  <si>
    <t>1560-8530</t>
  </si>
  <si>
    <t>1814-9596</t>
  </si>
  <si>
    <t>10.17957/IJAB/15.0484</t>
  </si>
  <si>
    <t>WOS:000426044300005</t>
  </si>
  <si>
    <t>Schnurr-Pütz, S; Bååth, E; Guggenberger, G; Drake, HL; Kusel, K</t>
  </si>
  <si>
    <t>Schnurr-Putz, Silvia; Baath, Erland; Guggenberger, Georg; Drake, Harold L.; Kusel, Kirsten</t>
  </si>
  <si>
    <t>Compaction of forest soil by logging machinery favours occurrence of prokaryotes</t>
  </si>
  <si>
    <t>FEMS MICROBIOLOGY ECOLOGY</t>
  </si>
  <si>
    <t>Guggenberger, Georg/C-8423-2013</t>
  </si>
  <si>
    <t>Guggenberger, Georg/0000-0002-6962-8264; Baath, Erland/0000-0002-2616-1342</t>
  </si>
  <si>
    <t>0168-6496</t>
  </si>
  <si>
    <t>10.1111/j.1574-6941.2006.00175.x</t>
  </si>
  <si>
    <t>WOS:000242016000018</t>
  </si>
  <si>
    <t>Ribeiro, PL; Pitann, B; Banedjschafie, S; Mühling, KH</t>
  </si>
  <si>
    <t>Ribeiro, Pablo Lacerda; Pitann, Britta; Banedjschafie, Schahram; Muehling, Karl Hermann</t>
  </si>
  <si>
    <t>Effectiveness of three nitrification inhibitors on mitigating trace gas emissions from different soil textures under surface and subsurface drip irrigation</t>
  </si>
  <si>
    <t>Mühling, Karl/L-6443-2014</t>
  </si>
  <si>
    <t>Lacerda Ribeiro, Pablo/0000-0001-7512-1390</t>
  </si>
  <si>
    <t>10.1016/j.jenvman.2024.120969</t>
  </si>
  <si>
    <t>APR 2024</t>
  </si>
  <si>
    <t>WOS:001235362300001</t>
  </si>
  <si>
    <t>He, LL; Zhao, X; Wang, SQ; Xing, GX</t>
  </si>
  <si>
    <t>He, Lili; Zhao, Xu; Wang, Shenqiang; Xing, Guangxi</t>
  </si>
  <si>
    <t>The effects of rice-straw biochar addition on nitrification activity and nitrous oxide emissions in two Oxisols</t>
  </si>
  <si>
    <t>SOIL &amp; TILLAGE RESEARCH</t>
  </si>
  <si>
    <t>General Assembly of the European-General-Union (EGU)</t>
  </si>
  <si>
    <t>APR 12-17, 2015</t>
  </si>
  <si>
    <t>Vienna, AUSTRIA</t>
  </si>
  <si>
    <t>European Gen Union</t>
  </si>
  <si>
    <t>Zhao, Xu/I-4527-2019; Wang, Shengguang/J-9471-2012; He, Lili/F-2547-2010</t>
  </si>
  <si>
    <t>0167-1987</t>
  </si>
  <si>
    <t>1879-3444</t>
  </si>
  <si>
    <t>10.1016/j.still.2016.05.006</t>
  </si>
  <si>
    <t>WOS:000381834100008</t>
  </si>
  <si>
    <t>10.1016/S0038-0717(99)00111-X</t>
  </si>
  <si>
    <t>WOS:000083246300003</t>
  </si>
  <si>
    <t>Ibarr, MA; Zanatta, JA; Dieckow, J; Ribeiro, RH; Rachwal, MFG; Stahl, J</t>
  </si>
  <si>
    <t>Ibarr, Mariana Alves; Zanatta, Josileia Acordi; Dieckow, Jeferson; Ribeiro, Ricardo Henrique; Rachwal, Marcos Fernando Gluck; Stahl, James</t>
  </si>
  <si>
    <t>Dieckow, Jeferson/B-4466-2008; Ribeiro, Ricardo Henrique/P-6686-2016; Acordi Zanatta, Josileia/B-1107-2013</t>
  </si>
  <si>
    <t>IBARR, MARIANA/0000-0003-4419-8015; Dieckow, Jeferson/0000-0002-3025-4402; Ribeiro, Ricardo Henrique/0000-0002-6308-5545; Acordi Zanatta, Josileia/0000-0002-3214-4864</t>
  </si>
  <si>
    <t>10.1007/s11104-021-04938-5</t>
  </si>
  <si>
    <t>WOS:000637453800001</t>
  </si>
  <si>
    <t>Simek, M; Virtanen, S; Kristufek, V; Simojoki, A; Yli-Halla, M</t>
  </si>
  <si>
    <t>Simek, Miloslav; Virtanen, Seija; Kristufek, Vaclav; Simojoki, Asko; Yli-Halla, Markku</t>
  </si>
  <si>
    <t>Evidence of rich microbial communities in the subsoil of a boreal acid sulphate soil conducive to greenhouse gas emissions</t>
  </si>
  <si>
    <t>Šimek, Miloslav/G-1532-2014; Simojoki, Asko/Y-8194-2019; Krištůfek, Václav/G-3846-2014; Virtanen, Seija/LTD-1688-2024; Yli-Halla, Markku/B-5567-2015</t>
  </si>
  <si>
    <t>Virtanen, Seija/0000-0003-1409-9120; Yli-Halla, Markku/0000-0002-8062-7019; Simojoki, Asko/0000-0003-2397-3553</t>
  </si>
  <si>
    <t>JAN 30</t>
  </si>
  <si>
    <t>10.1016/j.agee.2010.11.018</t>
  </si>
  <si>
    <t>WOS:000287892400014</t>
  </si>
  <si>
    <t>McTaggart, IP; Clayton, H; Parker, J; Swan, L; Smith, KA</t>
  </si>
  <si>
    <t>Nitrous oxide emissions from grassland and spring barley, following N fertiliser application with and without nitrification inhibitors</t>
  </si>
  <si>
    <t>10.1007/s003740050312</t>
  </si>
  <si>
    <t>WOS:A1997XY71000007</t>
  </si>
  <si>
    <t>Xie, DN; Ge, XD; Duan, L; Mulder, J</t>
  </si>
  <si>
    <t>Xie, Danni; Ge, Xiaodong; Duan, Lei; Mulder, Jan</t>
  </si>
  <si>
    <t>Effects of acid deposition control in China: a review based on responses of subtropical forests</t>
  </si>
  <si>
    <t>FRONTIERS OF ENVIRONMENTAL SCIENCE &amp; ENGINEERING</t>
  </si>
  <si>
    <t>2095-2201</t>
  </si>
  <si>
    <t>2095-221X</t>
  </si>
  <si>
    <t>10.1007/s11783-024-1837-4</t>
  </si>
  <si>
    <t>WOS:001236209300001</t>
  </si>
  <si>
    <t>Gamboa-Cutz, JN; Trevathan-Tackett, SM; Cadena, S; Mcdougall, C; Adame, MF</t>
  </si>
  <si>
    <t>Gamboa-Cutz, J. N.; Trevathan-Tackett, S. M.; Cadena, S.; Mcdougall, C.; Adame, M. F.</t>
  </si>
  <si>
    <t>Microbial communities and soil greenhouse gas fluxes from subtropical tidal and supratidal wetlands</t>
  </si>
  <si>
    <t>ESTUARINE COASTAL AND SHELF SCIENCE</t>
  </si>
  <si>
    <t>Adame, MF/N-8463-2014; Trevathan-Tackett, Stacey/X-9178-2019</t>
  </si>
  <si>
    <t>Gamboa Cutz, Julieta Nazareth/0000-0001-6778-2965; Trevathan-Tackett, Stacey/0000-0002-4977-0757</t>
  </si>
  <si>
    <t>0272-7714</t>
  </si>
  <si>
    <t>1096-0015</t>
  </si>
  <si>
    <t>10.1016/j.ecss.2025.109124</t>
  </si>
  <si>
    <t>FEB 2025</t>
  </si>
  <si>
    <t>WOS:001422879700001</t>
  </si>
  <si>
    <t>Fagodiya, RK; Malyan, SK; Singh, D; Kumar, A; Yadav, RK; Sharma, PC; Pathak, H</t>
  </si>
  <si>
    <t>Fagodiya, Ram K.; Malyan, Sandeep K.; Singh, Devendra; Kumar, Amit; Yadav, Rajender K.; Sharma, Parbodh C.; Pathak, Himanshu</t>
  </si>
  <si>
    <t>Greenhouse Gas Emissions from Salt-Affected Soils: Mechanistic Understanding of Interplay Factors and Reclamation Approaches</t>
  </si>
  <si>
    <t>SUSTAINABILITY</t>
  </si>
  <si>
    <t>Yadav, Rajendra/GYQ-8141-2022; Malyan, Sandeep/AAJ-6514-2020; Sharma, Parbodh/Q-3574-2019; SINGH, DEVENDRA/HDM-0585-2022; Fagodiya, Ram K./J-6773-2019; Kumar, Amit/ABC-8065-2020</t>
  </si>
  <si>
    <t>Malyan, Sandeep K./0000-0003-1759-8902; Sharma, Parbodh Chander/0000-0002-5783-7480; Fagodiya, Ram K./0000-0001-7275-2306; Kumar, Amit/0000-0003-1956-0174</t>
  </si>
  <si>
    <t>2071-1050</t>
  </si>
  <si>
    <t>10.3390/su141911876</t>
  </si>
  <si>
    <t>WOS:000867344700001</t>
  </si>
  <si>
    <t>Kumar, R; Bordoloi, N</t>
  </si>
  <si>
    <t>Kumar, Raushan; Bordoloi, Nirmali</t>
  </si>
  <si>
    <t>FIELD CROPS RESEARCH</t>
  </si>
  <si>
    <t>kumar, raushan/HKE-1273-2023; Bordoloi, Nirmali/R-7989-2018</t>
  </si>
  <si>
    <t>Kumar, Raushan/0000-0002-3275-7492</t>
  </si>
  <si>
    <t>0378-4290</t>
  </si>
  <si>
    <t>1872-6852</t>
  </si>
  <si>
    <t>NOV 1</t>
  </si>
  <si>
    <t>10.1016/j.fcr.2024.109591</t>
  </si>
  <si>
    <t>SEP 2024</t>
  </si>
  <si>
    <t>WOS:001325231600001</t>
  </si>
  <si>
    <t>Mesquita, CPBD; Hartman, WH; Ardón, M; Tringe, SG</t>
  </si>
  <si>
    <t>Mesquita, Clifton P. Bueno de; Hartman, Wyatt H.; Ardon, Marcelo; Tringe, Susannah G.</t>
  </si>
  <si>
    <t>Disentangling the effects of sulfate and other seawater ions on microbial communities and greenhouse gas emissions in a coastal forested wetland</t>
  </si>
  <si>
    <t>ISME COMMUNICATIONS</t>
  </si>
  <si>
    <t>Bueno de Mesquita, Clifton/AAA-6180-2019; Tringe, Susannah/T-9431-2019</t>
  </si>
  <si>
    <t>Bueno de Mesquita, Clifton/0000-0002-2565-7100; Tringe, Susannah/0000-0001-6479-8427; Ardon, Marcelo/0000-0001-7275-2672</t>
  </si>
  <si>
    <t>2730-6151</t>
  </si>
  <si>
    <t>APR 14</t>
  </si>
  <si>
    <t>ycae040</t>
  </si>
  <si>
    <t>10.1093/ismeco/ycae040</t>
  </si>
  <si>
    <t>WOS:001273455400001</t>
  </si>
  <si>
    <t>Sánchez-Martín, L; Arce, A; Benito, A; Garcia-Torres, L; Vallejo, A</t>
  </si>
  <si>
    <t>Sanchez-Martin, Laura; Arce, Augusto; Benito, Alejandro; Garcia-Torres, Lourdes; Vallejo, Antonio</t>
  </si>
  <si>
    <t>Influence of drip and furrow irrigation systems on nitrogen oxide emissions from a horticultural crop</t>
  </si>
  <si>
    <t>Benito, Alejandro/AAB-4496-2019; VALLEJO, ANTONIO/K-6823-2014; SANCHEZ-MARTIN, LAURA/L-4754-2017</t>
  </si>
  <si>
    <t>VALLEJO, ANTONIO/0000-0003-0311-7450; Benito Barba, Alejandro/0000-0002-2256-0899; SANCHEZ-MARTIN, LAURA/0000-0002-1759-711X</t>
  </si>
  <si>
    <t>10.1016/j.soilbio.2008.02.005</t>
  </si>
  <si>
    <t>WOS:000257616100018</t>
  </si>
  <si>
    <t>SITAULA, BK; BAKKEN, LR</t>
  </si>
  <si>
    <t>NITROUS-OXIDE RELEASE FROM SPRUCE FOREST SOIL - RELATIONSHIPS WITH NITRIFICATION, METHANE UPTAKE, TEMPERATURE, MOISTURE AND FERTILIZATION</t>
  </si>
  <si>
    <t>Sitaula, Bishal/F-7086-2017; Bakken, Lars/AAO-2099-2020</t>
  </si>
  <si>
    <t>10.1016/0038-0717(93)90056-H</t>
  </si>
  <si>
    <t>WOS:A1993LZ39600012</t>
  </si>
  <si>
    <t>MARTIKAINEN, PJ</t>
  </si>
  <si>
    <t>NITROUS-OXIDE EMISSION ASSOCIATED WITH AUTOTROPHIC AMMONIUM OXIDATION IN ACID CONIFEROUS FOREST SOIL</t>
  </si>
  <si>
    <t>APPLIED AND ENVIRONMENTAL MICROBIOLOGY</t>
  </si>
  <si>
    <t>0099-2240</t>
  </si>
  <si>
    <t>1098-5336</t>
  </si>
  <si>
    <t>10.1128/AEM.50.6.1519-1525.1985</t>
  </si>
  <si>
    <t>WOS:A1985AVM8500031</t>
  </si>
  <si>
    <t>Minamikawa, K; Sakai, N; Hayashi, H</t>
  </si>
  <si>
    <t>The effects of ammonium sulfate application on methane emission and soil carbon content of a paddy field in Japan</t>
  </si>
  <si>
    <t>Minamikawa, Kazunori/AAV-1285-2021</t>
  </si>
  <si>
    <t>Minamikawa, Kazunori/0000-0002-4762-8765</t>
  </si>
  <si>
    <t>MAY 30</t>
  </si>
  <si>
    <t>10.1016/j.agee.2004.10.027</t>
  </si>
  <si>
    <t>WOS:000228955400006</t>
  </si>
  <si>
    <t>Martins, MR; Jantalia, CP; Polidoro, JC; Batista, JN; Alves, BJR; Boddey, RM; Urquiaga, S</t>
  </si>
  <si>
    <t>Martins, Marcio R.; Jantalia, Claudia P.; Polidoro, Jose C.; Batista, Josimar N.; Alves, Bruno J. R.; Boddey, Robert M.; Urquiaga, Segundo</t>
  </si>
  <si>
    <t>Nitrous oxide and ammonia emissions from N fertilization of maize crop under no-till in a Cerrado soil</t>
  </si>
  <si>
    <t>Alves, Bruno/B-8349-2018; dos Reis Martins, Márcio/D-2491-2019</t>
  </si>
  <si>
    <t>Boddey, Robert/0000-0003-3648-9859; dos Reis Martins, Marcio/0000-0003-3184-2959; Nogueira Batista, Josimar/0000-0001-5129-7092</t>
  </si>
  <si>
    <t>10.1016/j.still.2015.03.004</t>
  </si>
  <si>
    <t>WOS:000353093200009</t>
  </si>
  <si>
    <t>Dunmola, AS; Tenuta, M; Moulin, AP; Yapa, P; Lobb, DA</t>
  </si>
  <si>
    <t>Dunmola, Adedeji S.; Tenuta, Mario; Moulin, Alan P.; Yapa, Priyantha; Lobb, David A.</t>
  </si>
  <si>
    <t>Pattern of greenhouse gas emission from a Prairie Pothole agricultural landscape in Manitoba, Canada</t>
  </si>
  <si>
    <t>Moulin, Alan/O-4083-2019</t>
  </si>
  <si>
    <t>Tenuta, Mario/0000-0002-5471-7336; Lobb, David/0000-0003-1059-8715</t>
  </si>
  <si>
    <t>10.4141/CJSS08053</t>
  </si>
  <si>
    <t>WOS:000278170700001</t>
  </si>
  <si>
    <t>Lee, RY; Porubsky, WP; Feller, IC; Mckee, KL; Joye, SB</t>
  </si>
  <si>
    <t>Lee, Rosalynn Y.; Porubsky, William P.; Feller, Ilka C.; Mckee, Karen L.; Joye, Samantha B.</t>
  </si>
  <si>
    <t>Porewater biogeochemistry and soil metabolism in dwarf red mangrove habitats (Twin Cays, Belize)</t>
  </si>
  <si>
    <t>BIOGEOCHEMISTRY</t>
  </si>
  <si>
    <t>; McKee, Karen/D-1365-2014</t>
  </si>
  <si>
    <t>Feller, Ilka/0000-0002-6391-1608; Joye, Samantha/0000-0003-1610-451X; McKee, Karen/0000-0001-7042-670X; Sylvan, Rosalynn/0009-0009-4289-8895</t>
  </si>
  <si>
    <t>0168-2563</t>
  </si>
  <si>
    <t>1573-515X</t>
  </si>
  <si>
    <t>10.1007/s10533-008-9176-9</t>
  </si>
  <si>
    <t>WOS:000254360300006</t>
  </si>
  <si>
    <t>Guardia, G; Garcia-Gutiérrez, S; Vallejo, A; Ibáñez, MA; Sanchez-Martin, L; Montoya, M</t>
  </si>
  <si>
    <t>Guardia, Guillermo; Garcia-Gutierrez, Sandra; Vallejo, Antonio; Ibanez, Miguel A.; Sanchez-Martin, Laura; Montoya, Monica</t>
  </si>
  <si>
    <t>Nitrous oxide emissions and N-cycling gene abundances in a drip-fertigated (surface versus subsurface) maize crop with different N sources</t>
  </si>
  <si>
    <t>SANCHEZ-MARTIN, LAURA/L-4754-2017; Montoya, Mónica/ABA-7105-2020; García-Gutiérrez, Sandra/HGC-5115-2022; Guardia, Guillermo/I-8226-2018; IBANEZ RUIZ, MIGUEL ANGEL/R-8092-2018</t>
  </si>
  <si>
    <t>MONTOYA NOVILLO, MONICA/0000-0003-2051-911X; Garcia Gutierrez, Sandra/0000-0002-4739-9341; IBANEZ RUIZ, MIGUEL ANGEL/0000-0001-5761-5119</t>
  </si>
  <si>
    <t>10.1007/s00374-023-01791-9</t>
  </si>
  <si>
    <t>DEC 2023</t>
  </si>
  <si>
    <t>WOS:001132411100001</t>
  </si>
  <si>
    <t>Bremer, DJ</t>
  </si>
  <si>
    <t>Bremer, Dale J.</t>
  </si>
  <si>
    <t>Nitrous oxide fluxes in turfgrass: Effects of nitrogen fertilization rates and types</t>
  </si>
  <si>
    <t>SEP-OCT</t>
  </si>
  <si>
    <t>10.2134/jeq2005.0387</t>
  </si>
  <si>
    <t>WOS:000240924200004</t>
  </si>
  <si>
    <t>Gauthier, M; Bradley, RL; Simek, M</t>
  </si>
  <si>
    <t>Gauthier, Mathieu; Bradley, Robert L.; Simek, Miloslav</t>
  </si>
  <si>
    <t>More evidence that anaerobic oxidation of methane is prevalent in soils: Is it time to upgrade our biogeochemical models?</t>
  </si>
  <si>
    <t>Šimek, Miloslav/G-1532-2014</t>
  </si>
  <si>
    <t>10.1016/j.soilbio.2014.10.009</t>
  </si>
  <si>
    <t>WOS:000346545800020</t>
  </si>
  <si>
    <t>Zhu, R; Zhang, PJ; Li, X; Duan, ZQ</t>
  </si>
  <si>
    <t>Zhu, Rui; Zhang, Peijia; Li, Xun; Duan, Zengqiang</t>
  </si>
  <si>
    <t>How to remediate sulfate-nitrate salinized greenhouse soil? An optimal combination of organic amendment, fertilizer and irrigation</t>
  </si>
  <si>
    <t>SCIENTIA HORTICULTURAE</t>
  </si>
  <si>
    <t>0304-4238</t>
  </si>
  <si>
    <t>1879-1018</t>
  </si>
  <si>
    <t>10.1016/j.scienta.2023.112264</t>
  </si>
  <si>
    <t>JUN 2023</t>
  </si>
  <si>
    <t>WOS:001036850500001</t>
  </si>
  <si>
    <t>Witte, S; Giani, L</t>
  </si>
  <si>
    <t>Witte, Sarah; Giani, Luise</t>
  </si>
  <si>
    <t>Greenhouse Gas Emission and Balance of Marshes at the Southern North Sea Coast</t>
  </si>
  <si>
    <t>WETLANDS</t>
  </si>
  <si>
    <t>0277-5212</t>
  </si>
  <si>
    <t>1943-6246</t>
  </si>
  <si>
    <t>10.1007/s13157-015-0722-7</t>
  </si>
  <si>
    <t>WOS:000373644000011</t>
  </si>
  <si>
    <t>Gu, JX; Xiang, HY; Kuang, FH; Hao, YX; Qu, D; Zhu, B</t>
  </si>
  <si>
    <t>Gu, Jiangxin; Xiang, Hongyan; Kuang, Fuhong; Hao, Yaoxu; Qu, Dong; Zhu, Bo</t>
  </si>
  <si>
    <t>Gu, Jiangxin/X-2503-2019</t>
  </si>
  <si>
    <t>Gu, Jiangxin/0000-0002-7008-9042</t>
  </si>
  <si>
    <t>AUG 16</t>
  </si>
  <si>
    <t>10.1016/j.agee.2016.05.034</t>
  </si>
  <si>
    <t>WOS:000381834500014</t>
  </si>
  <si>
    <t>do Nascimento, AF; de Oliveira, CM; Pedreira, BC; Pereira, DH; Rodrigues, RRD</t>
  </si>
  <si>
    <t>do Nascimento, Alexandre Ferreira; de Oliveira, Carine Moreira; Pedreira, Bruno Carneiro; Pereira, Dalton Henrique; de Aragao Rodrigues, Renato Ribeiro</t>
  </si>
  <si>
    <t>GRASSLAND SCIENCE</t>
  </si>
  <si>
    <t>Rodrigues, Renato/AAV-1069-2021; C. Pedreira, Bruno/C-2306-2018; Ferreira do Nascimento, Alexandre/A-2284-2016; Pereira, Dalton Henrique/P-2420-2018</t>
  </si>
  <si>
    <t>C. Pedreira, Bruno/0000-0003-4663-954X; Ferreira do Nascimento, Alexandre/0000-0002-0837-343X; Pereira, Dalton Henrique/0000-0002-3128-1103</t>
  </si>
  <si>
    <t>1744-6961</t>
  </si>
  <si>
    <t>1744-697X</t>
  </si>
  <si>
    <t>10.1111/grs.12287</t>
  </si>
  <si>
    <t>JUN 2020</t>
  </si>
  <si>
    <t>WOS:000537383800001</t>
  </si>
  <si>
    <t>Vor, T; Dyckmans, J; Loftfield, N; Beese, F; Flessa, H</t>
  </si>
  <si>
    <t>Aeration effects on CO2, N2O, and CH4 emission and leachate composition of a forest soil</t>
  </si>
  <si>
    <t>Flessa, Heinz/N-8427-2013</t>
  </si>
  <si>
    <t>Vor, Torsten/0000-0001-5558-6836</t>
  </si>
  <si>
    <t>10.1002/jpln.200390010</t>
  </si>
  <si>
    <t>WOS:000181461600005</t>
  </si>
  <si>
    <t>Huang, Y; Li, YY; Yao, HY</t>
  </si>
  <si>
    <t>Huang, Ying; Li, Yaying; Yao, Huaiying</t>
  </si>
  <si>
    <t>Nitrate enhances N2O emission more than ammonium in a highly acidic soil</t>
  </si>
  <si>
    <t>LI, YAYING/AAV-5296-2020; Yao, Huaiying/T-1333-2018</t>
  </si>
  <si>
    <t>Yao, Huaiying/0000-0002-1932-8765</t>
  </si>
  <si>
    <t>10.1007/s11368-013-0785-0</t>
  </si>
  <si>
    <t>WOS:000330398600013</t>
  </si>
  <si>
    <t>Thilakarathna, SK; Konschuh, M; Woods, SA; Hernandez-Ramirez, G</t>
  </si>
  <si>
    <t>Thilakarathna, Shakila K. K.; Konschuh, Michele; Woods, Shelley A. A.; Hernandez-Ramirez, Guillermo</t>
  </si>
  <si>
    <t>Nitrous oxide emissions and productivity of irrigated potato: Effects of nitrogen fertilization options</t>
  </si>
  <si>
    <t>AGRONOMY JOURNAL</t>
  </si>
  <si>
    <t>Ramirez, Guillermo/AAV-8863-2021; Konschuh, Michele/KZT-9136-2024; Hernandez Ramirez, Guillermo/I-5429-2013</t>
  </si>
  <si>
    <t>Hernandez Ramirez, Guillermo/0000-0001-8225-5813</t>
  </si>
  <si>
    <t>0002-1962</t>
  </si>
  <si>
    <t>1435-0645</t>
  </si>
  <si>
    <t>10.1002/agj2.21213</t>
  </si>
  <si>
    <t>NOV 2022</t>
  </si>
  <si>
    <t>WOS:000911994800001</t>
  </si>
  <si>
    <t>Fang, WS; Huang, B; Sun, Y; Yan, DD; Li, Y; Bruno, T; Roncada, P; Wang, QX; Cao, AC</t>
  </si>
  <si>
    <t>Fang, Wensheng; Huang, Bin; Sun, Yang; Yan, Dongdong; Li, Yuan; Bruno, Tilocca; Roncada, Paola; Wang, Qiuxia; Cao, Aocheng</t>
  </si>
  <si>
    <t>Soil amendments promoting nitrifying bacteria recovery faster than the denitrifying bacteria at post soil fumigation</t>
  </si>
  <si>
    <t>Roncada, Paola/AAJ-6168-2020; Fang, Wensheng/HTP-9902-2023; yan, dongdong/M-4629-2017; Roncada, Paola/C-5263-2013</t>
  </si>
  <si>
    <t>Roncada, Paola/0000-0002-0114-5872</t>
  </si>
  <si>
    <t>JAN 15</t>
  </si>
  <si>
    <t>10.1016/j.scitotenv.2023.168041</t>
  </si>
  <si>
    <t>WOS:001109772700001</t>
  </si>
  <si>
    <t>Cai, Z; Laughlin, RJ; Stevens, RJ</t>
  </si>
  <si>
    <t>Nitrous oxide and dinitrogen emissions from soil under different water regimes and straw amendment</t>
  </si>
  <si>
    <t>XIIth International Conference on Protection of the Environment</t>
  </si>
  <si>
    <t>SEP 18-21, 1999</t>
  </si>
  <si>
    <t>NANJING, PEOPLES R CHINA</t>
  </si>
  <si>
    <t>10.1016/S0045-6535(00)00116-8</t>
  </si>
  <si>
    <t>WOS:000089930600003</t>
  </si>
  <si>
    <t>Hosen, Y; Tsuruta, H; Minami, K</t>
  </si>
  <si>
    <t>Effects of the depth of NO and N2O productions in soil on their emission rates to the atmosphere:: analysis by a simulation model</t>
  </si>
  <si>
    <t>10.1023/A:1009760220265</t>
  </si>
  <si>
    <t>WOS:000087601400009</t>
  </si>
  <si>
    <t>Mateo-Marín, N; Isla, R; Guillén, M; Quílez, D</t>
  </si>
  <si>
    <t>Mateo-Marin, Noemi; Isla, Ramon; Guillen, Monica; Quilez, Dolores</t>
  </si>
  <si>
    <t>Agronomic and Environmental Implications of Substituting Pig Slurry for Synthetic Nitrogen in Mediterranean Wheat Systems</t>
  </si>
  <si>
    <t>AGRONOMY-BASEL</t>
  </si>
  <si>
    <t>Quilez, Dolores/A-9740-2008; Mateo-Marín, Noemí/JHT-4437-2023; Guillen, Monica/KQU-8960-2024</t>
  </si>
  <si>
    <t>Isla, Ramon/0000-0001-8913-853X; Mateo-Marin, Noemi/0000-0002-1003-8294; Guillen, Monica/0000-0003-0226-4053; Quilez, Dolores/0000-0002-2638-9443</t>
  </si>
  <si>
    <t>2073-4395</t>
  </si>
  <si>
    <t>10.3390/agronomy10101498</t>
  </si>
  <si>
    <t>WOS:000584186900001</t>
  </si>
  <si>
    <t>Menyailo, OV; Stepanov, AL; Umarov, MM</t>
  </si>
  <si>
    <t>Effect of salts on the denitrification product ratio in soils</t>
  </si>
  <si>
    <t>Umarov, Marat/B-2528-2017; Stepanov, Andrey/E-4497-2014; Menyailo, Oleg/F-1855-2013</t>
  </si>
  <si>
    <t>Stepanov, Alexey/0000-0002-2481-2631; Menyailo, Oleg/0000-0002-6328-2522; Stepanov, Andrey/0000-0001-5101-1808</t>
  </si>
  <si>
    <t>WOS:000072675900007</t>
  </si>
  <si>
    <t>Mori, A; Hojito, M</t>
  </si>
  <si>
    <t>Mori, Akinori; Hojito, Masayuki</t>
  </si>
  <si>
    <t>Effect of dairy manure type and supplemental synthetic fertilizer on methane and nitrous oxide emissions from a grassland in Nasu, Japan</t>
  </si>
  <si>
    <t>MAR 4</t>
  </si>
  <si>
    <t>10.1080/00380768.2014.981676</t>
  </si>
  <si>
    <t>WOS:000353474500021</t>
  </si>
  <si>
    <t>Zanatta, JA; Bayer, C; Vieira, FCB; Gomes, J; Tomazi, M</t>
  </si>
  <si>
    <t>Zanatta, Josileia Acordi; Bayer, Cimelio; Vieira, Frederico C. B.; Gomes, Juliana; Tomazi, Michely</t>
  </si>
  <si>
    <t>NITROUS OXIDE AND METHANE FLUXES IN SOUTH BRAZILIAN GLEYSOL AS AFFECTED BY NITROGEN FERTILIZERS</t>
  </si>
  <si>
    <t>REVISTA BRASILEIRA DE CIENCIA DO SOLO</t>
  </si>
  <si>
    <t>Vieira, Frederico/A-9728-2014; Bayer, Cimélio/O-9385-2015; Acordi Zanatta, Josileia/B-1107-2013</t>
  </si>
  <si>
    <t>Acordi Zanatta, Josileia/0000-0002-3214-4864; Costa Beber Vieira, Frederico/0000-0001-5565-7593</t>
  </si>
  <si>
    <t>0100-0683</t>
  </si>
  <si>
    <t>10.1590/S0100-06832010000500018</t>
  </si>
  <si>
    <t>WOS:000285507000018</t>
  </si>
  <si>
    <t>Olaya-Abril, A; Hidalgo-Carrillo, J; Luque-Almagro, VM; Fuentes-Almagro, C; Urbano, FJ; Moreno-Vivián, C; Richardson, DJ; Roldán, MD</t>
  </si>
  <si>
    <t>Olaya-Abril, Alfonso; Hidalgo-Carrillo, Jesus; Luque-Almagro, Victor M.; Fuentes-Almagro, Carlos; Urbano, Francisco J.; Moreno-Vivian, Conrado; Richardson, David J.; Roldan, Maria D.</t>
  </si>
  <si>
    <t>Exploring the Denitrification Proteome of Paracoccus denitrificans PD1222</t>
  </si>
  <si>
    <t>FRONTIERS IN MICROBIOLOGY</t>
  </si>
  <si>
    <t>Luque-Almagro, Victor/A-3516-2011; Roldan, Maria Dolores/K-4370-2014; Olaya Abril, Alfonso/L-9176-2014; Hidalgo-Carrillo, Jesus/H-1893-2015; Urbano, Francisco Jose/C-3521-2008</t>
  </si>
  <si>
    <t>Luque-Almagro, Victor M./0000-0003-1447-4795; Roldan, Maria Dolores/0000-0001-7173-8641; Olaya Abril, Alfonso/0000-0002-8961-1099; Hidalgo-Carrillo, Jesus/0000-0001-6403-4734; Fuentes-Almagro, Carlos/0000-0001-9940-9065; Urbano, Francisco Jose/0000-0002-3489-1601</t>
  </si>
  <si>
    <t>1664-302X</t>
  </si>
  <si>
    <t>MAY 29</t>
  </si>
  <si>
    <t>10.3389/fmicb.2018.01137</t>
  </si>
  <si>
    <t>WOS:000433327500001</t>
  </si>
  <si>
    <t>Baral, KR; Labouriau, R; Olesen, JE; Petersen, SO</t>
  </si>
  <si>
    <t>Baral, Khagendra R.; Labouriau, Rodrigo; Olesen, Jorgen E.; Petersen, Soren O.</t>
  </si>
  <si>
    <t>Nitrous oxide emissions and nitrogen use efficiency of manure and digestates applied to spring barley</t>
  </si>
  <si>
    <t>Petersen, Soren/E-9714-2016; Baral, Khagendra/HJP-1106-2023; Olesen, Jørgen/Y-2857-2019; Labouriau, Rodrigo/H-3890-2014</t>
  </si>
  <si>
    <t>Labouriau, Rodrigo/0000-0001-8713-6864; Olesen, Jorgen E./0000-0002-6639-1273; Baral, Khagendra Raj/0000-0002-6654-5906</t>
  </si>
  <si>
    <t>10.1016/j.agee.2017.01.012</t>
  </si>
  <si>
    <t>WOS:000397550100019</t>
  </si>
  <si>
    <t>Castellano-Hinojosa, A; Charteris, AF; Müller, C; Jansen-Willems, A; González-López, J; Bedmar, EJ; Carrillo, P; Cárdenas, LM</t>
  </si>
  <si>
    <t>Castellano-Hinojosa, Antonio; Charteris, Alice F.; Mueller, Christoph; Jansen-Willems, Anne; Gonzalez-Lopez, Jesus; Bedmar, Eulogio J.; Carrillo, Presentacion; Cardenas, Laura M.</t>
  </si>
  <si>
    <t>Occurrence and 15N-quantification of simultaneous nitrification and denitrification in N-fertilised soils incubated under oxygen-limiting conditions</t>
  </si>
  <si>
    <t>Müller, Christoph/F-9521-2010; Cardenas, Laura/HHC-2953-2022; Carrillo, Presentacion/I-1601-2015; Castellano-Hinojosa, Antonio/P-1988-2014</t>
  </si>
  <si>
    <t>Carrillo, Presentacion/0000-0003-3794-4294; Castellano-Hinojosa, Antonio/0000-0002-5785-7625</t>
  </si>
  <si>
    <t>10.1016/j.soilbio.2020.107757</t>
  </si>
  <si>
    <t>WOS:000523634500013</t>
  </si>
  <si>
    <t>Emery, HE; Angell, JH; Tawade, A; Fulweiler, RW</t>
  </si>
  <si>
    <t>Emery, Hollie E.; Angell, John H.; Tawade, Akaash; Fulweiler, Robinson W.</t>
  </si>
  <si>
    <t>Tidal rewetting in salt marshes triggers pulses of nitrous oxide emissions but slows carbon dioxide emission</t>
  </si>
  <si>
    <t>Fulweiler, Robinson/A-3806-2010</t>
  </si>
  <si>
    <t>Fulweiler, Robinson/0000-0003-0871-4246; Emery, Hollie/0000-0002-3788-7587</t>
  </si>
  <si>
    <t>10.1016/j.soilbio.2021.108197</t>
  </si>
  <si>
    <t>WOS:000640189100035</t>
  </si>
  <si>
    <t>Corrêa, DCD; Cardoso, AD; Ferreira, MR; Siniscalchi, D; Toniello, AD; de Lima, GC; Reis, RA; Ruggieri, AC</t>
  </si>
  <si>
    <t>Correa, Darlena Caroline da Cruz; Cardoso, Abmael da Silva; Ferreira, Mariane Rodrigues; Siniscalchi, Debora; Toniello, Ariana Desie; de Lima, Gilmar Cotrin; Reis, Ricardo Andrade; Ruggieri, Ana Claudia</t>
  </si>
  <si>
    <t>Are CH4, CO2, and N2O Emissions from Soil Affected by the Sources and Doses of N in Warm-Season Pasture?</t>
  </si>
  <si>
    <t>ATMOSPHERE</t>
  </si>
  <si>
    <t>Corrêa, Darlena Caroline/AAZ-5214-2021; RUGGIERI, ANA/F-5672-2015; Cardoso, Abmael/B-6978-2017; Reis, Ricardo/C-8680-2013</t>
  </si>
  <si>
    <t>Cardoso, Abmael/0000-0002-6051-9635; RUGGIERI, ANA CLAUDIA/0000-0002-9646-8489; Reis, Ricardo/0000-0002-4709-3094; DA CRUZ CORREA, DARLENA CAROLINE/0000-0003-2112-4267</t>
  </si>
  <si>
    <t>2073-4433</t>
  </si>
  <si>
    <t>10.3390/atmos12060697</t>
  </si>
  <si>
    <t>WOS:000665352500001</t>
  </si>
  <si>
    <t>Wu, D; Senbayram, M; Well, R; Brüggemann, N; Pfeiffer, B; Loick, N; Stempfhuber, B; Dittert, K; Bol, R</t>
  </si>
  <si>
    <t>Wu, Di; Senbayram, Mehmet; Well, Reinhard; Brueggemann, Nicolas; Pfeiffer, Birgit; Loick, Nadine; Stempfhuber, Barbara; Dittert, Klaus; Bol, Roland</t>
  </si>
  <si>
    <t>Nitrification inhibitors mitigate N2O emissions more effectively under straw-induced conditions favoring denitrification</t>
  </si>
  <si>
    <t>Well, Reinhard/U-4658-2018; WU, Di/AAG-4235-2019; senbayram, mehmet/AAC-4231-2021; Pfeiffer, Birgit/J-3433-2013; Loick, Nadine/M-4313-2019; Dittert, Klaus/AAA-8824-2019; Bol, Roland/H-9324-2013; Bruggemann, Nicolas/C-4263-2014</t>
  </si>
  <si>
    <t>Senbayram, Mehmet/0000-0002-5567-6580; Loick, Nadine/0000-0001-5316-5552; Bruggemann, Nicolas/0000-0003-3851-2418; Pfeiffer, Birgit/0000-0002-1820-4533; Dittert, Klaus/0000-0003-4062-067X</t>
  </si>
  <si>
    <t>10.1016/j.soilbio.2016.10.022</t>
  </si>
  <si>
    <t>WOS:000389555900019</t>
  </si>
  <si>
    <t>Paulo, EN; Galindo, FS; Rabêlo, FHS; Frazao, JJ; Lavres, J</t>
  </si>
  <si>
    <t>Paulo, Ezio Nalinde; Galindo, Fernando Shintate; Rabelo, Flavio Henrique Silveira; Frazao, Joaquim Jose; Lavres, Jose</t>
  </si>
  <si>
    <t>3,4-Dimethylpyrazole Phosphate Applied on Ammonium Sulfate Nitrate and Urea Reduces the Nitrification Process in Three Tropical Soils: An Incubation Study</t>
  </si>
  <si>
    <t>Junior, Jose/KHC-8978-2024; Rabêlo, Flávio/D-2434-2012; Galindo, Fernando/M-2373-2017; Frazao, Joaquim Jose/M-1054-2016; Lavres, Jose/A-1667-2012</t>
  </si>
  <si>
    <t>Frazao, Joaquim Jose/0000-0001-8586-4622; Lavres, Jose/0000-0002-7183-4008</t>
  </si>
  <si>
    <t>JUL 20</t>
  </si>
  <si>
    <t>10.1080/00103624.2023.2211092</t>
  </si>
  <si>
    <t>MAY 2023</t>
  </si>
  <si>
    <t>WOS:000986109700001</t>
  </si>
  <si>
    <t>Nelson, JDJ; Schoenau, JJ; Malhi, SS; Gill, KS</t>
  </si>
  <si>
    <t>Nelson, J. D. J.; Schoenau, J. J.; Malhi, S. S.; Gill, K. S.</t>
  </si>
  <si>
    <t>Burning and cultivation effects on greenhouse gas emissions and nutrients in wetland soils from Saskatchewan, Canada</t>
  </si>
  <si>
    <t>Schoenau, Jeffrey/0000-0002-2965-9365</t>
  </si>
  <si>
    <t>10.1007/s10705-007-9092-8</t>
  </si>
  <si>
    <t>WOS:000247387800007</t>
  </si>
  <si>
    <t>Hartmann, M; Niklaus, PA; Zimmermann, S; Schmutz, S; Kremer, J; Abarenkov, K; Lüscher, P; Widmer, F; Frey, B</t>
  </si>
  <si>
    <t>Hartmann, Martin; Niklaus, Pascal A.; Zimmermann, Stephan; Schmutz, Stefan; Kremer, Johann; Abarenkov, Kessy; Luescher, Peter; Widmer, Franco; Frey, Beat</t>
  </si>
  <si>
    <t>Resistance and resilience of the forest soil microbiome to logging-associated compaction</t>
  </si>
  <si>
    <t>ISME JOURNAL</t>
  </si>
  <si>
    <t>Frey, Beat/AAE-1745-2022; Hartmann, Martin/M-9371-2016; Niklaus, Pascal/G-5786-2010; Zimmermann, Stephan/B-2788-2018; Abarenkov, Kessy/H-9611-2015</t>
  </si>
  <si>
    <t>Widmer, Franco/0000-0002-1735-8397; Frey, Beat/0000-0002-6391-3574; Hartmann, Martin/0000-0001-8069-5284; Niklaus, Pascal/0000-0002-2360-1357; Zimmermann, Stephan/0000-0002-7085-0284; Abarenkov, Kessy/0000-0001-5526-4845</t>
  </si>
  <si>
    <t>1751-7362</t>
  </si>
  <si>
    <t>1751-7370</t>
  </si>
  <si>
    <t>10.1038/ismej.2013.141</t>
  </si>
  <si>
    <t>WOS:000328605200020</t>
  </si>
  <si>
    <t>Fageria, NK; Carvalho, GD; Santos, AB; Ferreira, EPB; Knupp, AM</t>
  </si>
  <si>
    <t>Fageria, N. K.; Carvalho, G. D.; Santos, A. B.; Ferreira, E. P. B.; Knupp, A. M.</t>
  </si>
  <si>
    <t>Chemistry of Lowland Rice Soils and Nutrient Availability</t>
  </si>
  <si>
    <t>Santos, Ana Cláudia/HHN-2939-2022; Carvalho, Gabriel/P-4894-2016; Ferreira, Enderson/C-4990-2014</t>
  </si>
  <si>
    <t>Ferreira, Enderson/0000-0002-1964-1516</t>
  </si>
  <si>
    <t>10.1080/00103624.2011.591467</t>
  </si>
  <si>
    <t>WOS:000299735100002</t>
  </si>
  <si>
    <t>Meng, TZ; Zhu, TB; Zhang, JB; Xie, Y; Sun, WJ; Yuan, L; Cai, ZC</t>
  </si>
  <si>
    <t>Meng, Tianzhu; Zhu, Tongbin; Zhang, Jinbo; Xie, Yu; Sun, Weijun; Yuan, Lei; Cai, Zucong</t>
  </si>
  <si>
    <t>Liming accelerates the NO3 - removal and reduces N2O emission in degraded vegetable soil treated by reductive soil disinfestation (RSD)</t>
  </si>
  <si>
    <t>Yuan, Lei/0009-0004-9613-5272</t>
  </si>
  <si>
    <t>10.1007/s11368-015-1138-y</t>
  </si>
  <si>
    <t>WOS:000359938600013</t>
  </si>
  <si>
    <t>Feng, ZJ; Zhu, LZ</t>
  </si>
  <si>
    <t>Feng, Zhengjun; Zhu, Lizhong</t>
  </si>
  <si>
    <t>Impact of biochar on soil N2O emissions under different biochar-carbon/fertilizer-nitrogen ratios at a constant moisture condition on a silt loam soil</t>
  </si>
  <si>
    <t>Feng, Zhengjun/HHC-8138-2022</t>
  </si>
  <si>
    <t>APR 15</t>
  </si>
  <si>
    <t>10.1016/j.scitotenv.2017.01.115</t>
  </si>
  <si>
    <t>WOS:000399358500075</t>
  </si>
  <si>
    <t>Rizhiya, EY; Horak, J; Simansky, V; Buchkina, NP</t>
  </si>
  <si>
    <t>Rizhiya, Elena Y.; Horak, Jan; Simansky, Vladimir; Buchkina, Natalya P.</t>
  </si>
  <si>
    <t>Nitrogen enriched biochar-compost mixture as a soil amendment to the Haplic Luvisol: effect on greenhouse gas emission</t>
  </si>
  <si>
    <t>BIOLOGIA</t>
  </si>
  <si>
    <t>Buchkina, Natalya/B-6604-2017; Rizhiya, Elena/B-6160-2017; Horak, Jan/V-4106-2019</t>
  </si>
  <si>
    <t>Horak, Jan/0000-0003-0078-9083</t>
  </si>
  <si>
    <t>0006-3088</t>
  </si>
  <si>
    <t>1336-9563</t>
  </si>
  <si>
    <t>10.2478/s11756-019-00335-7</t>
  </si>
  <si>
    <t>WOS:000538246000010</t>
  </si>
  <si>
    <t>Corrochano-Monsalve, M; González-Murua, C; Estavillo, JM; Estonba, A; Zarraonaindia, I</t>
  </si>
  <si>
    <t>Corrochano-Monsalve, Mario; Gonzalez-Murua, Carmen; Estavillo, Jose-Maria; Estonba, Andone; Zarraonaindia, Iratxe</t>
  </si>
  <si>
    <t>Unraveling DMPSA nitrification inhibitor impact on soil bacterial consortia under different tillage systems</t>
  </si>
  <si>
    <t>ESTAVILLO, José-María/P-5711-2019; CORROCHANO-MONSALVE, MARIO/GQP-6793-2022; Zarraonaindia, Iratxe/ABF-4618-2020; Gonzalez-Murua, Carmen/J-2968-2012</t>
  </si>
  <si>
    <t>Corrochano-Monsalve, Mario/0000-0002-8191-1847; Estonba, Andone/0000-0003-2851-5201; Zarraonaindia, Iratxe/0000-0002-0615-0187; Gonzalez-Murua, Carmen/0000-0003-0310-5804; ESTAVILLO, Jose-Maria/0000-0002-3986-8005</t>
  </si>
  <si>
    <t>10.1016/j.agee.2020.107029</t>
  </si>
  <si>
    <t>WOS:000553393400018</t>
  </si>
  <si>
    <t>Doroski, AA; Helton, AM; Vadas, TM</t>
  </si>
  <si>
    <t>Doroski, April A.; Helton, Ashley M.; Vadas, Timothy M.</t>
  </si>
  <si>
    <t>Greenhouse gas fluxes from coastal wetlands at the intersection of urban pollution and saltwater intrusion: A soil core experiment</t>
  </si>
  <si>
    <t>Helton, Ashley/0000-0001-6928-2104</t>
  </si>
  <si>
    <t>10.1016/j.soilbio.2018.12.023</t>
  </si>
  <si>
    <t>WOS:000459841300006</t>
  </si>
  <si>
    <t>Fangueiro, D; Coutinho, J; Cabral, F; Fidalgo, P; Bol, R; Trindade, H</t>
  </si>
  <si>
    <t>Fangueiro, David; Coutinho, Joao; Cabral, Fernanda; Fidalgo, Paula; Bol, Roland; Trindade, Henrique</t>
  </si>
  <si>
    <t>Nitric oxide and greenhouse gases emissions following the application of different cattle slurry particle size fractions to soil</t>
  </si>
  <si>
    <t>Fangueiro, David/C-3876-2009; Bol, Roland/H-9324-2013; coutinho, joao/I-6236-2015; Cabral, Fernanda/M-7581-2013; Trindade, Henrique/A-5693-2013</t>
  </si>
  <si>
    <t>Fangueiro, David/0000-0002-6101-9210; coutinho, joao/0000-0002-6303-9549; Cabral, Fernanda/0000-0002-3182-4112; Trindade, Henrique/0000-0001-8208-6204</t>
  </si>
  <si>
    <t>10.1016/j.atmosenv.2011.10.052</t>
  </si>
  <si>
    <t>WOS:000301157700042</t>
  </si>
  <si>
    <t>Yanai, Y; Toyota, K; Okazaki, M</t>
  </si>
  <si>
    <t>Effects of successive soil freeze-thaw cycles on nitrification potential of soils</t>
  </si>
  <si>
    <t>16th International Symposium on Environmental Biogeochemistry</t>
  </si>
  <si>
    <t>SEP 01-06, 2003</t>
  </si>
  <si>
    <t>Oirase, JAPAN</t>
  </si>
  <si>
    <t>Toyota, Koki/C-4615-2013; Yanai, Yosuke/B-5305-2011</t>
  </si>
  <si>
    <t>10.1080/00380768.2004.10408543</t>
  </si>
  <si>
    <t>WOS:000225652700007</t>
  </si>
  <si>
    <t>Yagi, K; Sriphirom, P; Cha-un, N; Fusuwankaya, K; Chidthaisong, A; Damen, B; Towprayoon, S</t>
  </si>
  <si>
    <t>Yagi, Kazuyuki; Sriphirom, Patikorn; Cha-un, Nittaya; Fusuwankaya, Kanlayanee; Chidthaisong, Amnat; Damen, Beau; Towprayoon, Sirintornthep</t>
  </si>
  <si>
    <t>Potential and promisingness of technical options for mitigating greenhouse gas emissions from rice cultivation in Southeast Asian countries</t>
  </si>
  <si>
    <t>Sriphirom, Patikorn/KCY-8311-2024; Cha-un, Nittaya/KIK-7890-2024</t>
  </si>
  <si>
    <t>10.1080/00380768.2019.1683890</t>
  </si>
  <si>
    <t>NOV 2019</t>
  </si>
  <si>
    <t>WOS:000493872700001</t>
  </si>
  <si>
    <t>Rau, BM; Adler, PR; Dell, CJ; Saha, D; Kemanian, AR</t>
  </si>
  <si>
    <t>Rau, Benjamin M.; Adler, Paul R.; Dell, Curtis J.; Saha, Debasish; Kemanian, Armen R.</t>
  </si>
  <si>
    <t>Herbaceous perennial biomass production on frequently saturated marginal soils: Influence on N2O emissions and shallow groundwater</t>
  </si>
  <si>
    <t>BIOMASS &amp; BIOENERGY</t>
  </si>
  <si>
    <t>Saha, Debasish/H-8160-2019</t>
  </si>
  <si>
    <t>Adler, Paul/0000-0002-6787-631X; Kemanian, Armen/0000-0002-7682-3527</t>
  </si>
  <si>
    <t>0961-9534</t>
  </si>
  <si>
    <t>1873-2909</t>
  </si>
  <si>
    <t>10.1016/j.biombioe.2019.01.023</t>
  </si>
  <si>
    <t>WOS:000459461800010</t>
  </si>
  <si>
    <t>Dang, DM; Macdonald, B; Warneke, S; White, I</t>
  </si>
  <si>
    <t>Duy Minh Dang; Macdonald, Ben; Warneke, Soren; White, Ian</t>
  </si>
  <si>
    <t>Available carbon and nitrate increase greenhouse gas emissions from soils affected by salinity</t>
  </si>
  <si>
    <t>SOIL RESEARCH</t>
  </si>
  <si>
    <t>Macdonald, Ben/G-1078-2012; , Dang Duy Minh/HFZ-9484-2022</t>
  </si>
  <si>
    <t>1838-675X</t>
  </si>
  <si>
    <t>1838-6768</t>
  </si>
  <si>
    <t>10.1071/SR16010</t>
  </si>
  <si>
    <t>WOS:000392202900006</t>
  </si>
  <si>
    <t>Lau, SYL; Midot, F; Dom, SP; Lo, ML; Chin, MY; Jee, MS; Yap, ML; Chaddy, A; Melling, L</t>
  </si>
  <si>
    <t>Lau, Sharon Yu Ling; Midot, Frazer; Dom, Simon Peter; Lo, Mei Lieng; Chin, Mei-Yee; Jee, Mui Sie; Yap, Mui Lan; Chaddy, Auldry; Melling, Lulie</t>
  </si>
  <si>
    <t>Application of ammonium sulfate affects greenhouse gases and microbial diversity of an oil palm plantation on tropical peat</t>
  </si>
  <si>
    <t>ARCHIVES OF AGRONOMY AND SOIL SCIENCE</t>
  </si>
  <si>
    <t>Yap, Mui/AAB-2577-2020</t>
  </si>
  <si>
    <t>Chin, Mei Yee/0000-0003-3280-8410; Jee, Mui Sie/0000-0001-7420-9876; Midot, Frazer/0000-0002-3290-4966; Lo, Mei Lieng/0000-0003-2014-3677</t>
  </si>
  <si>
    <t>0365-0340</t>
  </si>
  <si>
    <t>1476-3567</t>
  </si>
  <si>
    <t>MAR 21</t>
  </si>
  <si>
    <t>10.1080/03650340.2021.2022650</t>
  </si>
  <si>
    <t>JAN 2022</t>
  </si>
  <si>
    <t>WOS:000740086200001</t>
  </si>
  <si>
    <t>Wu, D; Senbayram, M; Zang, HD; Ugurlar, F; Aydemir, S; Brüggemann, N; Kuzyakov, Y; Bol, R; Blagodatskaya, E</t>
  </si>
  <si>
    <t>Wu, Di; Senbayram, Mehmet; Zang, Huadong; Ugurlar, Ferhat; Aydemir, Salih; Brueggemann, Nicolas; Kuzyakov, Yakov; Bol, Roland; Blagodatskaya, Evgenia</t>
  </si>
  <si>
    <t>Effect of biochar origin and soil pH on greenhouse gas emissions from sandy and clay soils</t>
  </si>
  <si>
    <t>Bol, Roland/H-9324-2013; senbayram, mehmet/AAC-4231-2021; WU, Di/AAG-4235-2019; Aydemir, Salih/ABG-5406-2020; UĞURLAR, Ferhat/AAG-3965-2021; Kuzyakov, Yakov/D-1605-2010; Blagodatskaya, Evgenia/L-7177-2017; Bruggemann, Nicolas/C-4263-2014; Zang, Huadong/T-6447-2017</t>
  </si>
  <si>
    <t>Kuzyakov, Yakov/0000-0002-9863-8461; Senbayram, Mehmet/0000-0002-5567-6580; bol, roland/0000-0003-3015-7706; Blagodatskaya, Evgenia/0000-0002-8284-4017; UGURLAR, Ferhat/0000-0002-3663-3497; Bruggemann, Nicolas/0000-0003-3851-2418; Zang, Huadong/0000-0002-2008-143X</t>
  </si>
  <si>
    <t>10.1016/j.apsoil.2018.05.009</t>
  </si>
  <si>
    <t>WOS:000436438700015</t>
  </si>
  <si>
    <t>Cameron, KC; Di, HJ</t>
  </si>
  <si>
    <t>Cameron, Keith C.; Di, Hong J.</t>
  </si>
  <si>
    <t>Discovery of a new method to reduce methane emissions from farm dairy effluent</t>
  </si>
  <si>
    <t>Di, Hong Jie/G-5583-2010</t>
  </si>
  <si>
    <t>10.1007/s11368-021-03014-w</t>
  </si>
  <si>
    <t>JUL 2021</t>
  </si>
  <si>
    <t>WOS:000676088800001</t>
  </si>
  <si>
    <t>Tariq, A; Hansen, LV; Jensen, LS; Bruun, S</t>
  </si>
  <si>
    <t>Tariq, Azeem; Hansen, Line Vinther; Jensen, Lars Stoumann; Bruun, Sander</t>
  </si>
  <si>
    <t>Assessing nitrous oxide mitigation efficiency of three nitrification inhibitors with synthetic and organic fertilisers in Eastern Denmark</t>
  </si>
  <si>
    <t>ENVIRONMENTAL TECHNOLOGY &amp; INNOVATION</t>
  </si>
  <si>
    <t>Jensen, Lars/E-3564-2012; Bruun, Sander/G-3555-2014; Tariq, Azeem/K-7885-2013</t>
  </si>
  <si>
    <t>Hansen, Line Vinther/0000-0001-6734-9440; Tariq, Azeem/0000-0002-6132-2391</t>
  </si>
  <si>
    <t>2352-1864</t>
  </si>
  <si>
    <t>10.1016/j.eti.2024.103952</t>
  </si>
  <si>
    <t>DEC 2024</t>
  </si>
  <si>
    <t>WOS:001413809000001</t>
  </si>
  <si>
    <t>Rietra, R; van Dijk, K; Schoumans, O</t>
  </si>
  <si>
    <t>Rietra, Rene; van Dijk, Kimo; Schoumans, Oscar</t>
  </si>
  <si>
    <t>Environmental Effects of Using Ammonium Sulfate from Animal Manure Scrubbing Technology as Fertilizer</t>
  </si>
  <si>
    <t>APPLIED SCIENCES-BASEL</t>
  </si>
  <si>
    <t>Rietra, Rene/AGD-5333-2022</t>
  </si>
  <si>
    <t>Rietra, Rene/0000-0003-1563-3815</t>
  </si>
  <si>
    <t>2076-3417</t>
  </si>
  <si>
    <t>10.3390/app14124998</t>
  </si>
  <si>
    <t>WOS:001255041800001</t>
  </si>
  <si>
    <t>Liu, SA; Wang, JJ; Tian, Z; Wang, XD; Harrison, S</t>
  </si>
  <si>
    <t>Liu, Shuai; Wang, Jim J.; Tian, Zhou; Wang, Xudong; Harrison, Stephen</t>
  </si>
  <si>
    <t>Ammonia and greenhouse gas emissions from a subtropical wheat field under different nitrogen fertilization strategies</t>
  </si>
  <si>
    <t>JOURNAL OF ENVIRONMENTAL SCIENCES</t>
  </si>
  <si>
    <t>Jiang, Jiang/H-1080-2012; Harrison, Stephen/GON-3283-2022; Wang, Jim/AFT-6967-2022</t>
  </si>
  <si>
    <t>Harrison, Stephen/0000-0002-7007-4617; Wang, Jim/0000-0001-5082-8234</t>
  </si>
  <si>
    <t>1001-0742</t>
  </si>
  <si>
    <t>1878-7320</t>
  </si>
  <si>
    <t>JUL 1</t>
  </si>
  <si>
    <t>10.1016/j.jes.2017.02.014</t>
  </si>
  <si>
    <t>WOS:000405972600022</t>
  </si>
  <si>
    <t>Stirling, E; Fitzpatrick, RW; Mosley, LM</t>
  </si>
  <si>
    <t>Stirling, E.; Fitzpatrick, R. W.; Mosley, L. M.</t>
  </si>
  <si>
    <t>Drought effects on wet soils in inland wetlands and peatlands</t>
  </si>
  <si>
    <t>EARTH-SCIENCE REVIEWS</t>
  </si>
  <si>
    <t>; Stirling, Erinne/K-1089-2019; Fitzpatrick, Robert/F-3212-2013</t>
  </si>
  <si>
    <t>Mosley, Luke/0000-0002-7446-8955; Stirling, Erinne/0000-0001-5386-2454; Fitzpatrick, Robert/0000-0002-9235-0360</t>
  </si>
  <si>
    <t>0012-8252</t>
  </si>
  <si>
    <t>1872-6828</t>
  </si>
  <si>
    <t>10.1016/j.earscirev.2020.103387</t>
  </si>
  <si>
    <t>WOS:000588283400036</t>
  </si>
  <si>
    <t>Ronkainen, JG; Siljanen, H; Liimatainen, M; Maljanen, M</t>
  </si>
  <si>
    <t>Ronkainen, Jussi G.; Siljanen, Henri; Liimatainen, Maarit; Maljanen, Marja</t>
  </si>
  <si>
    <t>The effect of soil amendments on the greenhouse gas production in agricultural peat soils</t>
  </si>
  <si>
    <t>BOREAL ENVIRONMENT RESEARCH</t>
  </si>
  <si>
    <t>1239-6095</t>
  </si>
  <si>
    <t>1797-2469</t>
  </si>
  <si>
    <t>10.58013/ber2025.d7k6-2p40</t>
  </si>
  <si>
    <t>WOS:001416185600002</t>
  </si>
  <si>
    <t>Maris, SC; Teira-Esmatges, MR; Català, MM</t>
  </si>
  <si>
    <t>Maris, S. C.; Teira-Esmatges, M. R.; Catala, M. M.</t>
  </si>
  <si>
    <t>Influence of irrigation frequency on greenhouse gases emission from a paddy soil</t>
  </si>
  <si>
    <t>PADDY AND WATER ENVIRONMENT</t>
  </si>
  <si>
    <t>Teira-Esmatges, M. Rosa/AGH-3480-2022; Catala-Forner, Mar/M-5091-2018</t>
  </si>
  <si>
    <t>Catala-Forner, Mar/0000-0002-1026-7097</t>
  </si>
  <si>
    <t>1611-2490</t>
  </si>
  <si>
    <t>1611-2504</t>
  </si>
  <si>
    <t>10.1007/s10333-015-0490-2</t>
  </si>
  <si>
    <t>WOS:000374249300017</t>
  </si>
  <si>
    <t>Chen, GC; Ulumuddin, YI; Pramudji, S; Chen, SY; Chen, B; Ye, Y; Ou, DY; Ma, ZY; Huang, H; Wang, JK</t>
  </si>
  <si>
    <t>Chen, Guang C.; Ulumuddin, Yaya I.; Pramudji, Sastro; Chen, Shun Y.; Chen, Bin; Ye, Yong; Ou, Dan Y.; Ma, Zhi Y.; Huang, Hao; Wang, Jing K.</t>
  </si>
  <si>
    <t>Rich soil carbon and nitrogen but low atmospheric greenhouse gas fluxes from North Sulawesi mangrove swamps in Indonesia</t>
  </si>
  <si>
    <t>chen, bin/KZA-1706-2024; 黄 HUANG, 浩 HAO/JWO-6203-2024; Ulumuddin, Yaya Ihya/C-7204-2019</t>
  </si>
  <si>
    <t>Ulumuddin, Yaya Ihya/0000-0002-4169-9853; Sari, Nopia/0000-0001-9018-1084; chen, bin/0000-0003-0735-228X; Chen, Guangcheng/0000-0001-8203-4834</t>
  </si>
  <si>
    <t>JUL 15</t>
  </si>
  <si>
    <t>10.1016/j.scitotenv.2014.03.140</t>
  </si>
  <si>
    <t>WOS:000337259100011</t>
  </si>
  <si>
    <t>Sarr, PS; Nakamura, S; Ando, Y; Iwasaki, S; Subbarao, GV</t>
  </si>
  <si>
    <t>Sarr, Papa Saliou; Nakamura, Satoshi; Ando, Yasuo; Iwasaki, Shinya; Subbarao, Guntur Venkata</t>
  </si>
  <si>
    <t>Sorgoleone production enhances mycorrhizal association and reduces soil nitrification in sorghum</t>
  </si>
  <si>
    <t>RHIZOSPHERE</t>
  </si>
  <si>
    <t>SARR, Papa Saliou/0000-0002-4478-4463</t>
  </si>
  <si>
    <t>2452-2198</t>
  </si>
  <si>
    <t>10.1016/j.rhisph.2020.100283</t>
  </si>
  <si>
    <t>WOS:000621755200009</t>
  </si>
  <si>
    <t>Zhang, Y; Qian, YL; Bremer, DJ; Kaye, JP</t>
  </si>
  <si>
    <t>Zhang, Yao; Qian, Yaling; Bremer, Dale J.; Kaye, Jason P.</t>
  </si>
  <si>
    <t>Simulation of Nitrous Oxide Emissions and Estimation of Global Warming Potential in Turfgrass Systems Using the DAYCENT Model</t>
  </si>
  <si>
    <t>10.2134/jeq2012.0486</t>
  </si>
  <si>
    <t>WOS:000321822300016</t>
  </si>
  <si>
    <t>Mateo-Marín, N; Quílez, D; Guillén, M; Isla, R</t>
  </si>
  <si>
    <t>Mateo-Marin, Noemi; Quilez, Dolores; Guillen, Monica; Isla, Ramon</t>
  </si>
  <si>
    <t>Feasibility of stabilised nitrogen fertilisers decreasing greenhouse gas emissions under optimal management in sprinkler irrigated conditions</t>
  </si>
  <si>
    <t>Mateo-Marín, Noemí/JHT-4437-2023; Quilez, Dolores/A-9740-2008; Guillen, Monica/KQU-8960-2024</t>
  </si>
  <si>
    <t>Mateo-Marin, Noemi/0000-0002-1003-8294; Isla, Ramon/0000-0001-8913-853X; Guillen, Monica/0000-0003-0226-4053; Quilez, Dolores/0000-0002-2638-9443</t>
  </si>
  <si>
    <t>10.1016/j.agee.2019.106725</t>
  </si>
  <si>
    <t>WOS:000514929300002</t>
  </si>
  <si>
    <t>Dise, NB; Verry, ES</t>
  </si>
  <si>
    <t>Suppression of peatland methane emission by cumulative sulfate deposition in simulated acid rain</t>
  </si>
  <si>
    <t>10.1023/A:1010774610050</t>
  </si>
  <si>
    <t>WOS:000167922000002</t>
  </si>
  <si>
    <t>Meng, XY; Ma, C; Petersen, SO</t>
  </si>
  <si>
    <t>Meng, Xiaoyi; Ma, Chun; Petersen, Soren O.</t>
  </si>
  <si>
    <t>Sensitive control of N2O emissions and microbial community dynamics by organic fertilizer and soil interactions</t>
  </si>
  <si>
    <t>MENG, Xiaoyi/0000-0003-0550-3478</t>
  </si>
  <si>
    <t>10.1007/s00374-022-01662-9</t>
  </si>
  <si>
    <t>SEP 2022</t>
  </si>
  <si>
    <t>WOS:000849179500002</t>
  </si>
  <si>
    <t>Majumdar, D</t>
  </si>
  <si>
    <t>Methane and nitrous oxide emission from irrigated rice fields: Proposed mitigation strategies</t>
  </si>
  <si>
    <t>MAY 25</t>
  </si>
  <si>
    <t>WOS:000183509600019</t>
  </si>
  <si>
    <t>Roy, R; Klüber, HD; Conrad, R</t>
  </si>
  <si>
    <t>Early initiation of methane production in anoxic rice soil despite the presence of oxidants</t>
  </si>
  <si>
    <t>10.1016/S0168-6496(97)00072-X</t>
  </si>
  <si>
    <t>WOS:000071142700003</t>
  </si>
  <si>
    <t>Mondal, M; Biswas, B; Garai, S; Sarkar, S; Banerjee, H; Brahmachari, K; Bandyopadhyay, PK; Maitra, S; Brestic, M; Skalicky, M; Ondrisik, P; Hossain, A</t>
  </si>
  <si>
    <t>Mondal, Mousumi; Biswas, Benukar; Garai, Sourav; Sarkar, Sukamal; Banerjee, Hirak; Brahmachari, Koushik; Bandyopadhyay, Prasanta Kumar; Maitra, Sagar; Brestic, Marian; Skalicky, Milan; Ondrisik, Peter; Hossain, Akbar</t>
  </si>
  <si>
    <t>Zeolites Enhance Soil Health, Crop Productivity and Environmental Safety</t>
  </si>
  <si>
    <t>Maitra, Sagar/ABG-6109-2020; Mondal, Mousumi/JRZ-0377-2023; BISWAS, BENUKAR/AAT-1013-2020; Sarkar, Sukamal/D-5994-2017; Brestic, Marian/A-8263-2012; Hossain, Akbar/K-1070-2012; Skalicky, Milan/B-2449-2009</t>
  </si>
  <si>
    <t>Mondal, Mousumi/0000-0002-5652-2575; BISWAS, BENUKAR/0000-0002-7582-8377; Sarkar, Sukamal/0000-0002-1438-1778; Garai, Sourav/0000-0001-5823-078X; Banerjee, Hirak/0000-0003-4237-1435; Brestic, Marian/0000-0003-3470-6100; Maitra, Sagar/0000-0001-8210-1531; Hossain, Akbar/0000-0003-0264-2712; Skalicky, Milan/0000-0002-4114-6909</t>
  </si>
  <si>
    <t>10.3390/agronomy11030448</t>
  </si>
  <si>
    <t>WOS:000633174400001</t>
  </si>
  <si>
    <t>Effect of combined application of manure and fertilizer on N2O fluxes from a grassland soil in Nasu, Japan</t>
  </si>
  <si>
    <t>10.1016/j.agee.2011.07.018</t>
  </si>
  <si>
    <t>WOS:000309433300006</t>
  </si>
  <si>
    <t>Rahman, N; Henke, C; Forrestal, PJ</t>
  </si>
  <si>
    <t>Rahman, Niharika; Henke, Catarina; Forrestal, Patrick J.</t>
  </si>
  <si>
    <t>Efficacy of the Nitrification Inhibitor 3,4 Dimethylpyrazol Succinic Acid (DMPSA) when Combined with Calcium Ammonium Nitrate and Ammonium Sulphate-A Soil Incubation Experiment</t>
  </si>
  <si>
    <t>Rahman, Niharika/0000-0001-6029-7369; Forresal, Patrick/0000-0003-1023-1948</t>
  </si>
  <si>
    <t>10.3390/agronomy11071334</t>
  </si>
  <si>
    <t>WOS:000675930000001</t>
  </si>
  <si>
    <t>de Jong, AEE; Guererro-Cruz, S; van Diggelen, JMH; Vaksmaa, A; Lamers, LPM; Jetten, MSM; Smolders, AJP; Rasigraf, O</t>
  </si>
  <si>
    <t>de Jong, Anniek E. E.; Guererro-Cruz, Simon; van Diggelen, Josepha M. H.; Vaksmaa, Annika; Lamers, Leon P. M.; Jetten, Mike S. M.; Smolders, Alfons J. P.; Rasigraf, Olivia</t>
  </si>
  <si>
    <t>Changes in microbial community composition, activity, and greenhouse gas production upon inundation of drained iron-rich peat soils</t>
  </si>
  <si>
    <t>Smolders, Alfons/H-2583-2012; Vaksmaa, Annika/ABF-3817-2021; Lamers, Leon/A-8718-2012; de Jong, Anniek/AAI-2110-2019; Jetten, Mike/B-8834-2011</t>
  </si>
  <si>
    <t>Vaksmaa, Annika/0000-0003-4265-3061; de Jong, Anniek/0000-0002-8244-5497; Guerrero-Cruz, Simon/0000-0002-9111-8279</t>
  </si>
  <si>
    <t>10.1016/j.soilbio.2020.107862</t>
  </si>
  <si>
    <t>WOS:000567094800001</t>
  </si>
  <si>
    <t>Watts, DB; Runion, GB; Nannenga, KWS; Torbert, HA</t>
  </si>
  <si>
    <t>Watts, Dexter B.; Runion, G. Brett; Nannenga, Katy W. Smith; Torbert, H. Allen</t>
  </si>
  <si>
    <t>Impacts of Enhanced-Efficiency Nitrogen Fertilizers on Greenhouse Gas Emissions in a Coastal Plain Soil under Cotton</t>
  </si>
  <si>
    <t>Torbert, Henry/AAE-5909-2021</t>
  </si>
  <si>
    <t>Chapman, Katy/0000-0002-1152-6505</t>
  </si>
  <si>
    <t>NOV-DEC</t>
  </si>
  <si>
    <t>10.2134/jeq2015.01.0036</t>
  </si>
  <si>
    <t>WOS:000364912300001</t>
  </si>
  <si>
    <t>Paludan, C; BlicherMathiesen, G</t>
  </si>
  <si>
    <t>Losses of inorganic carbon and nitrous oxide from a temperate freshwater wetland in relation to nitrate loading</t>
  </si>
  <si>
    <t>10.1007/BF02179957</t>
  </si>
  <si>
    <t>WOS:A1996VW59400001</t>
  </si>
  <si>
    <t>Shamsuzzaman, SM; Begum, M; Hanafi, MM; Samsuri, AW; Saud, HM; Jantan, NM</t>
  </si>
  <si>
    <t>Shamsuzzaman, S. M.; Begum, Masuda; Hanafi, M. M.; Samsuri, A. W.; Saud, H. Mohd; Jantan, Nur Maisarah</t>
  </si>
  <si>
    <t>EFFECTS OF NITRIFICATION INHIBITOR WITH ORGANIC MANURE AND UREA-N ON NUTRIENT ACCUMULATION AND YIELD OF MR219 RICE IN ACID SULPHATE SOIL</t>
  </si>
  <si>
    <t>BANGLADESH JOURNAL OF BOTANY</t>
  </si>
  <si>
    <t>; Samsuri, Wahid/H-1763-2015</t>
  </si>
  <si>
    <t>mohd saud, halimi/0000-0002-8945-0264; Samsuri, Wahid/0000-0002-5450-0604</t>
  </si>
  <si>
    <t>0253-5416</t>
  </si>
  <si>
    <t>2079-9926</t>
  </si>
  <si>
    <t>WOS:000422929500022</t>
  </si>
  <si>
    <t>Zhang, M; Dai, Y; Dai, P; Sun, Z; Lin, X; He, Z; Tian, Y</t>
  </si>
  <si>
    <t>Zhang, Manping; Dai, Yujie; Dai, Peiliang; Sun, Zekun; Lin, Xiaolan; He, Zhili; Tian, Yun</t>
  </si>
  <si>
    <t>Finding the pieces for the anaerobic methane oxidation jigsaw puzzle in mangrove wetlands</t>
  </si>
  <si>
    <t>INTERNATIONAL BIODETERIORATION &amp; BIODEGRADATION</t>
  </si>
  <si>
    <t>He, Zhili/C-2879-2012</t>
  </si>
  <si>
    <t>0964-8305</t>
  </si>
  <si>
    <t>1879-0208</t>
  </si>
  <si>
    <t>10.1016/j.ibiod.2022.105375</t>
  </si>
  <si>
    <t>WOS:000967772900003</t>
  </si>
  <si>
    <t>Sriphirom, P; Towprayoon, S; Yagi, K; Rossopa, B; Chidthaisong, A</t>
  </si>
  <si>
    <t>Sriphirom, Patikorn; Towprayoon, Sirintornthep; Yagi, Kazuyuki; Rossopa, Benjamas; Chidthaisong, Amnat</t>
  </si>
  <si>
    <t>Changes in methane production and oxidation in rice paddy soils induced by biochar addition</t>
  </si>
  <si>
    <t>Sriphirom, Patikorn/KCY-8311-2024</t>
  </si>
  <si>
    <t>10.1016/j.apsoil.2022.104585</t>
  </si>
  <si>
    <t>JUL 2022</t>
  </si>
  <si>
    <t>WOS:000874782100004</t>
  </si>
  <si>
    <t>FORBES, EA</t>
  </si>
  <si>
    <t>DETERMINATION OF MICROGRAM AMOUNTS OF SULFATE BY EMISSION-SPECTROSCOPY OF BARIUM WITH A NITROUS OXIDE-ACETYLENE FLAME</t>
  </si>
  <si>
    <t>ANALYST</t>
  </si>
  <si>
    <t>0003-2654</t>
  </si>
  <si>
    <t>10.1039/an9739800506</t>
  </si>
  <si>
    <t>WOS:A1973Q151500006</t>
  </si>
  <si>
    <t>Oo, AZ; Gonai, T; Sudo, S; Win, KT; Shibata, A</t>
  </si>
  <si>
    <t>Oo, Aung Zaw; Gonai, Takeru; Sudo, Shigeto; Win, Khin Thuzar; Shibata, Akira</t>
  </si>
  <si>
    <t>Surface application of fertilizers and residue biochar on N2O emission from Japanese pear orchard soil</t>
  </si>
  <si>
    <t>PLANT SOIL AND ENVIRONMENT</t>
  </si>
  <si>
    <t>1214-1178</t>
  </si>
  <si>
    <t>1805-9368</t>
  </si>
  <si>
    <t>10.17221/114/2018-PSE</t>
  </si>
  <si>
    <t>WOS:000451787600005</t>
  </si>
  <si>
    <t>MURAKAMI, T; OWA, N; KUMAZAWA, K</t>
  </si>
  <si>
    <t>THE EFFECTS OF SOIL-CONDITIONS AND NITROGEN FORM ON N2O EVOLUTION BY DENITRIFICATION</t>
  </si>
  <si>
    <t>10.1080/00380768.1987.10557550</t>
  </si>
  <si>
    <t>WOS:A1987G641400003</t>
  </si>
  <si>
    <t>Taghizadeh-Toosi, A; Elsgaard, L; Clough, TJ; Labouriau, R; Ernstsen, V; Petersen, SO</t>
  </si>
  <si>
    <t>Taghizadeh-Toosi, Arezoo; Elsgaard, Lars; Clough, Tim J.; Labouriau, Rodrigo; Ernstsen, Vibeke; Petersen, Soren O.</t>
  </si>
  <si>
    <t>Regulation of N2O emissions from acid organic soil drained for agriculture</t>
  </si>
  <si>
    <t>BIOGEOSCIENCES</t>
  </si>
  <si>
    <t>Clough, Timothy/Q-4982-2018; Taghizadeh-Toosi, Arezoo/C-2858-2016; Labouriau, Rodrigo/AAD-2576-2020; Elsgaard, Lars/A-7698-2013</t>
  </si>
  <si>
    <t>Taghizadeh-Toosi, Arezoo/0000-0002-5166-0741; Labouriau, Rodrigo/0000-0001-8713-6864; Elsgaard, Lars/0000-0003-0058-7609</t>
  </si>
  <si>
    <t>1726-4170</t>
  </si>
  <si>
    <t>1726-4189</t>
  </si>
  <si>
    <t>NOV 29</t>
  </si>
  <si>
    <t>10.5194/bg-16-4555-2019</t>
  </si>
  <si>
    <t>WOS:000499703100002</t>
  </si>
  <si>
    <t>Martínez-Eixarch, M; Alcaraz, C; Viñas, M; Noguerol, J; Aranda, X; Prenafeta-Boldú, FX; Català-Forner, M; Fennessy, MS; Ibáñez, C</t>
  </si>
  <si>
    <t>Martinez-Eixarch, Maite; Alcaraz, Carles; Vinas, Marc; Noguerol, Joan; Aranda, Xavier; Prenafeta-Boldu, Frances-Xavier; Catala-Forner, Mar; Fennessy, M. Siobhan; Ibanez, Carles</t>
  </si>
  <si>
    <t>The main drivers of methane emissions differ in the growing and flooded fallow seasons in Mediterranean rice fields</t>
  </si>
  <si>
    <t>Martí, Carles/AAV-6637-2021; Noguerol, Joan/KWU-2727-2024; Prenafeta-Boldú, Francesc/B-5295-2014; Vinas, Marc/A-2502-2014; Martinez-Eixarch, Maite/A-9813-2011; Alcaraz, Carles/D-1930-2009</t>
  </si>
  <si>
    <t>Vinas, Marc/0000-0002-4124-3602; Fennessy, Siobhan/0000-0001-8753-837X; Martinez-Eixarch, Maite/0000-0002-7352-8522; Alcaraz, Carles/0000-0002-2147-4796; Ibanez, Carles/0000-0002-7091-5527</t>
  </si>
  <si>
    <t>10.1007/s11104-020-04809-5</t>
  </si>
  <si>
    <t>JAN 2021</t>
  </si>
  <si>
    <t>WOS:000606388700002</t>
  </si>
  <si>
    <t>Huérfano, X; Fuertes-Mendizábal, T; Duñabeitia, MK; González-Murua, C; Estavillo, JM; Menéndez, S</t>
  </si>
  <si>
    <t>Huerfano, Ximena; Fuertes-Mendizabal, Teresa; Dunabeitia, Miren K.; Gonzalez-Murua, Carmen; Maria Estavillo, Jose; Menendez, Sergio</t>
  </si>
  <si>
    <t>Splitting the application of 3,4-dimethylpyrazole phosphate (DMPP): Influence on greenhouse gases emissions and wheat yield and quality under humid Mediterranean conditions</t>
  </si>
  <si>
    <t>EUROPEAN JOURNAL OF AGRONOMY</t>
  </si>
  <si>
    <t>Huerfano, Ximena/AAY-4250-2021; Fuertes-Mendizabal, Teresa/JBJ-2207-2023; ESTAVILLO, José-María/P-5711-2019; Fuertes-Mendizabal, Teresa/Y-1498-2018; Gonzalez-Murua, Carmen/J-2968-2012; Menendez, Sergio/J-9373-2014; Dunabeitia, Miren Karmele/C-3140-2018</t>
  </si>
  <si>
    <t>Fuertes-Mendizabal, Teresa/0000-0003-2307-3424; Gonzalez-Murua, Carmen/0000-0003-0310-5804; ESTAVILLO, Jose-Maria/0000-0002-3986-8005; Menendez, Sergio/0000-0002-2245-9088; Dunabeitia, Miren Karmele/0000-0002-5767-1193; Fuertes-Mendizabal, Teresa/0000-0002-2736-0765</t>
  </si>
  <si>
    <t>1161-0301</t>
  </si>
  <si>
    <t>1873-7331</t>
  </si>
  <si>
    <t>10.1016/j.eja.2014.11.008</t>
  </si>
  <si>
    <t>WOS:000349425100006</t>
  </si>
  <si>
    <t>TORTOSO, AC; HUTCHINSON, GL</t>
  </si>
  <si>
    <t>CONTRIBUTIONS OF AUTOTROPHIC AND HETEROTROPHIC NITRIFIERS TO SOIL NO AND N2O EMISSIONS</t>
  </si>
  <si>
    <t>10.1128/AEM.56.6.1799-1805.1990</t>
  </si>
  <si>
    <t>WOS:A1990DG92200047</t>
  </si>
  <si>
    <t>Rajbonshi, MP; Mitra, S; Bhattacharyya, P</t>
  </si>
  <si>
    <t>Rajbonshi, Manas Protim; Mitra, Sudip; Bhattacharyya, Pratap</t>
  </si>
  <si>
    <t>Agro-technologies for greenhouse gases mitigation in flooded rice fields for promoting climate smart agriculture</t>
  </si>
  <si>
    <t>ENVIRONMENTAL POLLUTION</t>
  </si>
  <si>
    <t>Rajbonshi, Manas/0000-0001-9671-9658; Mitra, Sudip/0000-0002-1838-8264</t>
  </si>
  <si>
    <t>0269-7491</t>
  </si>
  <si>
    <t>1873-6424</t>
  </si>
  <si>
    <t>10.1016/j.envpol.2024.123973</t>
  </si>
  <si>
    <t>MAY 2024</t>
  </si>
  <si>
    <t>WOS:001237116600001</t>
  </si>
  <si>
    <t>Tierling, J; Kuhlmann, H</t>
  </si>
  <si>
    <t>Tierling, Jens; Kuhlmann, Hermann</t>
  </si>
  <si>
    <t>Emissions of nitrous oxide (N2O) affected by pH-related nitrite accumulation during nitrification of N fertilizers</t>
  </si>
  <si>
    <t>10.1016/j.geoderma.2017.08.040</t>
  </si>
  <si>
    <t>WOS:000413799400002</t>
  </si>
  <si>
    <t>FLEMMING, CA; TREVORS, JT</t>
  </si>
  <si>
    <t>EFFECT OF COPPER ON NITROUS-OXIDE REDUCTION IN FRESH-WATER SEDIMENT</t>
  </si>
  <si>
    <t>WATER AIR AND SOIL POLLUTION</t>
  </si>
  <si>
    <t>0049-6979</t>
  </si>
  <si>
    <t>1573-2932</t>
  </si>
  <si>
    <t>3-4</t>
  </si>
  <si>
    <t>WOS:A1988R485400013</t>
  </si>
  <si>
    <t>Le Mer, J; Roger, P</t>
  </si>
  <si>
    <t>Production, oxidation, emission and consumption of methane by soils: A review</t>
  </si>
  <si>
    <t>EUROPEAN JOURNAL OF SOIL BIOLOGY</t>
  </si>
  <si>
    <t>1164-5563</t>
  </si>
  <si>
    <t>1778-3615</t>
  </si>
  <si>
    <t>JAN-MAR</t>
  </si>
  <si>
    <t>10.1016/S1164-5563(01)01067-6</t>
  </si>
  <si>
    <t>WOS:000168474700004</t>
  </si>
  <si>
    <t>Sawamoto, T; Yoshida, R; Abe, K; Matsunaka, T</t>
  </si>
  <si>
    <t>Sawamoto, Takuji; Yoshida, Ryou; Abe, Kotomi; Matsunaka, Teruo</t>
  </si>
  <si>
    <t>No significant difference in N2O emission, fertilizer-induced N2O emission factor and CH4 absorption between anaerobically digested cattle slurry and chemical fertilizer applied timothy (Phleum pratense L.) sward in central Hokkaido, Japan</t>
  </si>
  <si>
    <t>10.1111/j.1747-0765.2010.00465.x</t>
  </si>
  <si>
    <t>WOS:000279988400019</t>
  </si>
  <si>
    <t>Menéndez, S; Merino, P; Pinto, M; González-Murua, C; Estavillo, JM</t>
  </si>
  <si>
    <t>Menendez, S.; Merino, P.; Pinto, M.; Gonzalez-Murua, C.; Estavillo, J. M.</t>
  </si>
  <si>
    <t>3,4-dimethylpyrazol phosphate effect on nitrous oxide, nitric oxide, ammonia, and carbon dioxide emissions from grasslands</t>
  </si>
  <si>
    <t>ESTAVILLO, José-María/P-5711-2019; Pinto, Míriam/B-8000-2013; Gonzalez-Murua, Carmen/J-2968-2012; Merino, Pilar/K-4555-2014; Menendez, Sergio/J-9373-2014</t>
  </si>
  <si>
    <t>Gonzalez-Murua, Carmen/0000-0003-0310-5804; Bastias, Elizabeth/0009-0006-0675-1181; ESTAVILLO, Jose-Maria/0000-0002-3986-8005; Pinto, Miriam/0000-0002-7398-3306; Merino, Pilar/0000-0002-5242-5479; Menendez, Sergio/0000-0002-2245-9088</t>
  </si>
  <si>
    <t>10.2134/jeq2005.0320</t>
  </si>
  <si>
    <t>WOS:000239189900002</t>
  </si>
  <si>
    <t>Chi, YB; Wei, CC; Zheng, Q; Yang, PL; Ren, SM</t>
  </si>
  <si>
    <t>Chi, Yanbing; Wei, Chenchen; Zheng, Qiang; Yang, Peiling; Ren, Shumei</t>
  </si>
  <si>
    <t>Potential risk of soil reactive gaseous nitrogen emissions under reclaimed water irrigation in a wheat-maize rotation system</t>
  </si>
  <si>
    <t>AGRICULTURAL WATER MANAGEMENT</t>
  </si>
  <si>
    <t>Yang, Pei-Ling/KIG-5763-2024; Chi, Yanbing/GYA-3036-2022</t>
  </si>
  <si>
    <t>0378-3774</t>
  </si>
  <si>
    <t>1873-2283</t>
  </si>
  <si>
    <t>10.1016/j.agwat.2023.108486</t>
  </si>
  <si>
    <t>AUG 2023</t>
  </si>
  <si>
    <t>WOS:001067370000001</t>
  </si>
  <si>
    <t>Chisholm, CMW; Cameron, KC; Di, HJ; Green, TC</t>
  </si>
  <si>
    <t>Chisholm, Christopher M. W.; Cameron, Keith C.; Di, Hong J.; Green, Tim C.</t>
  </si>
  <si>
    <t>The effect of polyferric sulphate treated farm dairy effluent and clarified water on leaching losses, greenhouse gas emissions and pasture growth</t>
  </si>
  <si>
    <t>JUL 3</t>
  </si>
  <si>
    <t>10.1080/00288233.2020.1814823</t>
  </si>
  <si>
    <t>SEP 2020</t>
  </si>
  <si>
    <t>WOS:000568944000001</t>
  </si>
  <si>
    <t>Yan, Q; Yang, HH; Yan, L; Zhang, KQ; Li, JJ; Wang, F</t>
  </si>
  <si>
    <t>Yan, Qing; Yang, Houhua; Yan, Lei; Zhang, Keqiang; Li, Jiajia; Wang, Feng</t>
  </si>
  <si>
    <t>Quantifying soil N2O emissions from soil and anaerobically digested swine manure, nitrification and denitrification using 15N isotope labeling method</t>
  </si>
  <si>
    <t>ENVIRONMENTAL SCIENCE AND POLLUTION RESEARCH</t>
  </si>
  <si>
    <t>Jia, li/GPW-8015-2022; Li, Yanan/ABE-1354-2021</t>
  </si>
  <si>
    <t>0944-1344</t>
  </si>
  <si>
    <t>1614-7499</t>
  </si>
  <si>
    <t>10.1007/s11356-021-12981-z</t>
  </si>
  <si>
    <t>WOS:000621017700006</t>
  </si>
  <si>
    <t>Kim, J; Chaudhary, DR; Kang, H</t>
  </si>
  <si>
    <t>Kim, Jinhyun; Chaudhary, Doongar R.; Kang, Hojeong</t>
  </si>
  <si>
    <t>Nitrogen addition differently alters GHGs production and soil microbial community of tidal salt marsh soil depending on the types of halophyte</t>
  </si>
  <si>
    <t>Chaudhary, Doongar/I-3491-2019; Kang, Hojeong/C-7208-2011; Kim, Jinhyun/H-2308-2015</t>
  </si>
  <si>
    <t>Kang, Hojeong/0000-0002-2088-6406; , Jinhyun/0000-0002-6762-0322</t>
  </si>
  <si>
    <t>10.1016/j.apsoil.2019.103440</t>
  </si>
  <si>
    <t>WOS:000512886800003</t>
  </si>
  <si>
    <t>Huang, Q; Wang, JL; Wang, C; Wang, Q</t>
  </si>
  <si>
    <t>Huang, Qiong; Wang, Jianlei; Wang, Cong; Wang, Qing</t>
  </si>
  <si>
    <t>The 19-years inorganic fertilization increased bacterial diversity and altered bacterial community composition and potential functions in a paddy soil</t>
  </si>
  <si>
    <t>Wang, Cong/GRJ-9638-2022</t>
  </si>
  <si>
    <t>10.1016/j.apsoil.2019.07.009</t>
  </si>
  <si>
    <t>WOS:000485174500008</t>
  </si>
  <si>
    <t>Yang, LQ; Zhu, GD; Ju, XT; Liu, R</t>
  </si>
  <si>
    <t>Yang, Liuqing; Zhu, Gaodi; Ju, Xiaotang; Liu, Rui</t>
  </si>
  <si>
    <t>How nitrification-related N2O is associated with soil ammonia oxidizers in two contrasting soils in China?</t>
  </si>
  <si>
    <t>Ju, Xiaotang/0000-0003-2593-9500</t>
  </si>
  <si>
    <t>MAY 20</t>
  </si>
  <si>
    <t>10.1016/j.scitotenv.2020.143212</t>
  </si>
  <si>
    <t>WOS:000627896100001</t>
  </si>
  <si>
    <t>Zilio, M; Pigoli, A; Rizzi, B; Goglio, A; Tambone, F; Giordano, A; Maretto, L; Squartini, A; Stevanato, P; Meers, E; Schoumans, O; Adani, F</t>
  </si>
  <si>
    <t>Zilio, Massimo; Pigoli, Ambrogio; Rizzi, Bruno; Goglio, Andrea; Tambone, Fulvia; Giordano, Andrea; Maretto, Laura; Squartini, Andrea; Stevanato, Piergiorgio; Meers, Erik; Schoumans, Oscar; Adani, Fabrizio</t>
  </si>
  <si>
    <t>Nitrogen dynamics in soils fertilized with digestate and mineral fertilizers: A full field approach</t>
  </si>
  <si>
    <t>Squartini, Andrea/AAX-9942-2020; Meers, Erik/A-2789-2016; Giordano, Andrea/KBC-8884-2024</t>
  </si>
  <si>
    <t>GIORDANO, ANDREA/0000-0002-9747-133X; STEVANATO, PIERGIORGIO/0000-0002-6577-6956; Maretto, Laura/0009-0004-9719-8275; ZILIO, MASSIMO/0000-0001-5007-4540</t>
  </si>
  <si>
    <t>APR 10</t>
  </si>
  <si>
    <t>10.1016/j.scitotenv.2023.161500</t>
  </si>
  <si>
    <t>JAN 2023</t>
  </si>
  <si>
    <t>WOS:000926028500001</t>
  </si>
  <si>
    <t>Barth, G; Otto, R; Almeida, RF; Cardoso, EJBN; Cantarella, H; Vitti, GC</t>
  </si>
  <si>
    <t>Barth, Gabriel; Otto, Rafael; Almeida, Risely Ferraz; Bran Nogueira Cardoso, Elke Jurandy; Cantarella, Heitor; Vitti, Godofredo Cesar</t>
  </si>
  <si>
    <t>Conversion of ammonium to nitrate and abundance of ammonium-oxidizing-microorganism in Tropical soils with nitrification inhibitor</t>
  </si>
  <si>
    <t>SCIENTIA AGRICOLA</t>
  </si>
  <si>
    <t>Cantarella, Heitor/B-1699-2018; Cardoso, Elke/E-5039-2013; Vitti, Godofredo/A-3509-2013; Otto, Rafael/D-4423-2012; Ferraz-Almeida, Risely/N-5147-2014</t>
  </si>
  <si>
    <t>Cantarella, Heitor/0000-0002-1894-3029; Cardoso, Elke/0000-0003-3938-0373; Otto, Rafael/0000-0003-1472-298X; Ferraz-Almeida, Risely/0000-0003-0577-3961</t>
  </si>
  <si>
    <t>1678-992X</t>
  </si>
  <si>
    <t>e20180370</t>
  </si>
  <si>
    <t>10.1590/1678-992X-2018-0370</t>
  </si>
  <si>
    <t>WOS:000494943000001</t>
  </si>
  <si>
    <t>Coyotzi, S; Doxey, AC; Clark, ID; Lapen, DR; Van Cappellen, P; Neufeld, JD</t>
  </si>
  <si>
    <t>Coyotzi, Sara; Doxey, Andrew C.; Clark, Ian D.; Lapen, David R.; Van Cappellen, Philippe; Neufeld, Josh D.</t>
  </si>
  <si>
    <t>Agricultural soil denitrifiers possess extensive nitrite reductase gene diversity</t>
  </si>
  <si>
    <t>ENVIRONMENTAL MICROBIOLOGY</t>
  </si>
  <si>
    <t>Van Cappellen, Philippe/A-2906-2013</t>
  </si>
  <si>
    <t>1462-2912</t>
  </si>
  <si>
    <t>1462-2920</t>
  </si>
  <si>
    <t>10.1111/1462-2920.13643</t>
  </si>
  <si>
    <t>WOS:000397525100029</t>
  </si>
  <si>
    <t>Bozal-Leorri, A; Arregui, LM; Torralbo, F; González-Moro, MB; González-Murua, C; Aparicio-Tejo, P</t>
  </si>
  <si>
    <t>Bozal-Leorri, Adrian; Miguel Arregui, Luis; Torralbo, Fernando; Begona Gonzalez-Moro, Ma; Gonzalez-Murua, Carmen; Aparicio-Tejo, Pedro</t>
  </si>
  <si>
    <t>Soil moisture modulates biological nitrification inhibitors release in sorghum plants</t>
  </si>
  <si>
    <t>Bozal-Leorri, Adrian/AAB-1003-2021; Torralbo, Fernando/AAU-1491-2021; Gonzalez-Murua, Carmen/J-2968-2012; Aparicio-Tejo, Pedro M/E-9062-2011; Arregui, Luis Miguel/L-1402-2014</t>
  </si>
  <si>
    <t>Gonzalez-Murua, Carmen/0000-0003-0310-5804; BOZAL-LEORRI, ADRIAN/0000-0001-6617-1222; Aparicio-Tejo, Pedro M/0000-0002-7342-6999; Torralbo, Fernando/0000-0002-7592-4932; Arregui, Luis Miguel/0000-0002-8875-395X</t>
  </si>
  <si>
    <t>10.1007/s11104-023-05913-y</t>
  </si>
  <si>
    <t>FEB 2023</t>
  </si>
  <si>
    <t>WOS:000929264400001</t>
  </si>
  <si>
    <t>Mendoza, Y; Goodwin, KD; Happell, JD</t>
  </si>
  <si>
    <t>Mendoza, Y.; Goodwin, K. D.; Happell, J. D.</t>
  </si>
  <si>
    <t>Microbial Removal of Atmospheric Carbon Tetrachloride in Bulk Aerobic Soils</t>
  </si>
  <si>
    <t>Goodwin, Kelly/B-4985-2014</t>
  </si>
  <si>
    <t>Goodwin, Kelly/0000-0001-9583-8073; Happell, James/0000-0001-6049-3909</t>
  </si>
  <si>
    <t>10.1128/AEM.05341-11</t>
  </si>
  <si>
    <t>WOS:000294205700001</t>
  </si>
  <si>
    <t>Guzman-Bustamante, I; Schulz, R; Müller, T; Ruser, R</t>
  </si>
  <si>
    <t>Guzman-Bustamante, Ivan; Schulz, Rudolf; Mueller, Torsten; Ruser, Reiner</t>
  </si>
  <si>
    <t>Split N application and DMP based nitrification inhibitors mitigate N2O losses in a soil cropped with winter wheat</t>
  </si>
  <si>
    <t>Guzman-Bustamante, Ivan/0000-0001-6891-0041; Muller, Torsten/0000-0002-0175-9436</t>
  </si>
  <si>
    <t>10.1007/s10705-022-10211-7</t>
  </si>
  <si>
    <t>JUN 2022</t>
  </si>
  <si>
    <t>WOS:000818599100001</t>
  </si>
  <si>
    <t>Wakelin, S; Maclean, P; Cave, V; Zhou, JZ; Grelet, GA; Whitehead, D</t>
  </si>
  <si>
    <t>Wakelin, Steve; Maclean, Paul; Cave, Vanessa; Zhou, Jizhong; Grelet, Gwen-Aelle; Whitehead, David</t>
  </si>
  <si>
    <t>Characterising the soil ecosystem phenotype associated with relatively low nitrate-N concentrations</t>
  </si>
  <si>
    <t>Wakelin, Steven/C-3170-2011; Zhou, Jizhong/ACC-8029-2022; Whitehead, David/AAB-1608-2019</t>
  </si>
  <si>
    <t>Maclean, Paul/0000-0001-8898-8276; Zhou, Jizhong/0000-0003-2014-0564</t>
  </si>
  <si>
    <t>10.1016/j.apsoil.2019.04.012</t>
  </si>
  <si>
    <t>WOS:000470824300021</t>
  </si>
  <si>
    <t>Li, ZG; Xia, SJ; Zhang, RH; Zhang, RQ; Chen, F; Liu, Y</t>
  </si>
  <si>
    <t>Li, Zhiguo; Xia, Shujie; Zhang, Runhua; Zhang, Runqin; Chen, Fang; Liu, Yi</t>
  </si>
  <si>
    <t>N2O emissions and product ratios of nitrification and denitrification are altered by K fertilizer in acidic agricultural soils</t>
  </si>
  <si>
    <t>Li, Xibing/ABD-5781-2021</t>
  </si>
  <si>
    <t>B</t>
  </si>
  <si>
    <t>10.1016/j.envpol.2020.115065</t>
  </si>
  <si>
    <t>WOS:000564558300017</t>
  </si>
  <si>
    <t>Montoya, M; Guardia, G; Recio, J; Castellano-Hinojosa, A; Ginés, C; Bedmar, EJ; Alvarez, JM; Vallejo, A</t>
  </si>
  <si>
    <t>Montoya, Monica; Guardia, Guillermo; Recio, Jaime; Castellano-Hinojosa, Antonio; Gines, Celia; Bedmar, Eulogio J.; Alvarez, Jose Manuel; Vallejo, Antonio</t>
  </si>
  <si>
    <t>Zinc-nitrogen co-fertilization influences N2O emissions and microbial communities in an irrigated maize field</t>
  </si>
  <si>
    <t>Montoya, Mónica/ABA-7105-2020; Recio, Jaime/S-1019-2019; GUARDIA VAZQUEZ, GUILLERMO/I-8226-2018; Castellano-Hinojosa, Antonio/P-1988-2014; ALVAREZ ALVAREZ, JOSE MANUEL/R-6899-2018; VALLEJO, ANTONIO/K-6823-2014</t>
  </si>
  <si>
    <t>MONTOYA NOVILLO, MONICA/0000-0003-2051-911X; GUARDIA VAZQUEZ, GUILLERMO/0000-0002-2228-1398; Castellano-Hinojosa, Antonio/0000-0002-5785-7625; ALVAREZ ALVAREZ, JOSE MANUEL/0000-0002-8530-7241; Recio, Jaime/0000-0002-6317-5495; VALLEJO, ANTONIO/0000-0003-0311-7450</t>
  </si>
  <si>
    <t>FEB 1</t>
  </si>
  <si>
    <t>10.1016/j.geoderma.2020.114735</t>
  </si>
  <si>
    <t>WOS:000590747800021</t>
  </si>
  <si>
    <t>Gao, YC; Chen, H; Zeng, XY</t>
  </si>
  <si>
    <t>Gao, Yongheng; Chen, Huai; Zeng, Xiaoyang</t>
  </si>
  <si>
    <t>Effects of nitrogen and sulfur deposition on CH4 and N2O fluxes in high-altitude peatland soil under different water tables in the Tibetan Plateau</t>
  </si>
  <si>
    <t>Chen, Huai/A-7418-2015; Chen, Huai/AAI-1024-2020</t>
  </si>
  <si>
    <t>Chen, Huai/0000-0001-6208-1481; Chen, Huai/0000-0001-7650-289X</t>
  </si>
  <si>
    <t>10.1080/00380768.2014.893812</t>
  </si>
  <si>
    <t>WOS:000340088800013</t>
  </si>
  <si>
    <t>Montoya, M; Castellano-Hinojosa, A; Vallejo, A; Alvarez, JM; Bedmar, EJ; Recio, J; Guardia, G</t>
  </si>
  <si>
    <t>Montoya, Monica; Castellano-Hinojosa, Antonio; Vallejo, Antonio; Manuel Alvarez, Jose; Bedmar, Eulogio J.; Recio, Jaime; Guardia, Guillermo</t>
  </si>
  <si>
    <t>Zinc fertilizers influence greenhouse gas emissions and nitrifying and denitrifying communities in a non-irrigated arable cropland</t>
  </si>
  <si>
    <t>Recio, Jaime/S-1019-2019; Montoya, Mónica/ABA-7105-2020; ALVAREZ ALVAREZ, JOSE MANUEL/R-6899-2018; GUARDIA VAZQUEZ, GUILLERMO/I-8226-2018; VALLEJO, ANTONIO/K-6823-2014; Castellano-Hinojosa, Antonio/P-1988-2014</t>
  </si>
  <si>
    <t>ALVAREZ ALVAREZ, JOSE MANUEL/0000-0002-8530-7241; MONTOYA NOVILLO, MONICA/0000-0003-2051-911X; GUARDIA VAZQUEZ, GUILLERMO/0000-0002-2228-1398; Recio, Jaime/0000-0002-6317-5495; VALLEJO, ANTONIO/0000-0003-0311-7450; Castellano-Hinojosa, Antonio/0000-0002-5785-7625</t>
  </si>
  <si>
    <t>10.1016/j.geoderma.2018.03.035</t>
  </si>
  <si>
    <t>WOS:000432499000020</t>
  </si>
  <si>
    <t>Logozzo, LA; Soued, C; Bortolotti, LE; Badiou, P; Kowal, P; Page, B; Bogard, MJ</t>
  </si>
  <si>
    <t>Logozzo, L. A.; Soued, C.; Bortolotti, L. E.; Badiou, P.; Kowal, P.; Page, B.; Bogard, M. J.</t>
  </si>
  <si>
    <t>Agricultural Land Use Impacts Aquatic Greenhouse Gas Emissions From Wetlands in the Canadian Prairie Pothole Region</t>
  </si>
  <si>
    <t>GLOBAL BIOGEOCHEMICAL CYCLES</t>
  </si>
  <si>
    <t>Badiou, Pascal/H-3841-2019; Bortolotti, Lauren/F-2026-2010</t>
  </si>
  <si>
    <t>0886-6236</t>
  </si>
  <si>
    <t>1944-9224</t>
  </si>
  <si>
    <t>e2024GB008209</t>
  </si>
  <si>
    <t>10.1029/2024GB008209</t>
  </si>
  <si>
    <t>WOS:001444927200001</t>
  </si>
  <si>
    <t>Phuong, NTK; Khoi, CM; Ritz, K; Sinh, NV; Tarao, M; Toyota, K</t>
  </si>
  <si>
    <t>Nguyen Thi Kim Phuong; Khoi, Chau Minh; Ritz, Karl; Nguyen Van Sinh; Tarao, Mitsunori; Toyota, Koki</t>
  </si>
  <si>
    <t>Potential Use of Rice Husk Biochar and Compost to Improve P Availability and Reduce GHG Emissions in Acid Sulfate Soil</t>
  </si>
  <si>
    <t>Toyota, Koki/C-4615-2013; Nguyen, Sinh/ABE-8477-2021; Nguyen, Phuong/AED-7477-2022; TARAO, Mitsunori/G-1142-2013</t>
  </si>
  <si>
    <t>Van Nguyen, Sinh/0000-0003-0952-820X; Nguyen, Phuong/0000-0002-0931-2217</t>
  </si>
  <si>
    <t>10.3390/agronomy10050685</t>
  </si>
  <si>
    <t>WOS:000541750900071</t>
  </si>
  <si>
    <t>Lang, TTM; Schindler, L; Nakajima, C; Hülsmann, L; Knorr, KH; Borken, W</t>
  </si>
  <si>
    <t>Lang, Thi Tra My; Schindler, Lars; Nakajima, Chihiro; Huelsmann, Lisa; Knorr, Klaus-Holger; Borken, Werner</t>
  </si>
  <si>
    <t>Greenhouse gas fluxes from two drained pond sediments: a mesocosm study</t>
  </si>
  <si>
    <t>APR 1</t>
  </si>
  <si>
    <t>10.1007/s10533-025-01229-4</t>
  </si>
  <si>
    <t>WOS:001458898400001</t>
  </si>
  <si>
    <t>Sidhu, PK; Taggert, BI; Chen, DL; Wille, U</t>
  </si>
  <si>
    <t>Sidhu, Parvinder K.; Taggert, Bethany, I; Chen, Deli; Wille, Uta</t>
  </si>
  <si>
    <t>Degradation of the Nitrification Inhibitor 3,4-Dimethylpyrazole Phosphate in Soils: Indication of Chemical Pathways</t>
  </si>
  <si>
    <t>ACS AGRICULTURAL SCIENCE &amp; TECHNOLOGY</t>
  </si>
  <si>
    <t>Wille, Uta/AEW-9959-2022; Chen, Deli/LTF-5854-2024</t>
  </si>
  <si>
    <t>Wille, Uta/0000-0003-1756-5449; Taggert, Bethany/0000-0001-8845-7125</t>
  </si>
  <si>
    <t>2692-1952</t>
  </si>
  <si>
    <t>OCT 18</t>
  </si>
  <si>
    <t>10.1021/acsagscitech.1c00150</t>
  </si>
  <si>
    <t>WOS:000874464900001</t>
  </si>
  <si>
    <t>Souri, MK</t>
  </si>
  <si>
    <t>Souri, Mohammad Kazem</t>
  </si>
  <si>
    <t>Effectiveness of Chloride Compared to 3,4-Dimethylpyrazole Phosphate on Nitrification Inhibition in Soil</t>
  </si>
  <si>
    <t>Souri, Mohammad/K-5731-2019</t>
  </si>
  <si>
    <t>Souri, Mohammad Kazem/0000-0003-4958-5364</t>
  </si>
  <si>
    <t>10.1080/00103624.2010.489139</t>
  </si>
  <si>
    <t>WOS:000280378100009</t>
  </si>
  <si>
    <t>Guo, LP; Wang, XD; Diao, TT; Ju, XT; Niu, XG; Zheng, L; Zhang, XY; Han, X</t>
  </si>
  <si>
    <t>Guo, Liping; Wang, Xuedong; Diao, Tiantian; Ju, Xiaotang; Niu, Xiaoguang; Zheng, Lei; Zhang, Xinyue; Han, Xue</t>
  </si>
  <si>
    <t>N2O emission contributions by different pathways and associated microbial community dynamics in a typical calcareous vegetable soil</t>
  </si>
  <si>
    <t>Diao, Tina/HMD-1532-2023</t>
  </si>
  <si>
    <t>Ju, Xiaotang/0000-0003-2593-9500; Guo, Liping/0000-0001-5454-3092; Wang, Xuedong/0000-0002-4982-572X</t>
  </si>
  <si>
    <t>10.1016/j.envpol.2018.07.028</t>
  </si>
  <si>
    <t>WOS:000446282600104</t>
  </si>
  <si>
    <t>Fan, CH; Zhang, W; Chen, X; Li, N; Li, W; Wang, Q; Duan, PP; Chen, M</t>
  </si>
  <si>
    <t>Fan, Changhua; Zhang, Wen; Chen, Xin; Li, Ning; Li, Wei; Wang, Qing; Duan, Pengpeng; Chen, Miao</t>
  </si>
  <si>
    <t>Residual effects of four-year amendments of organic material on N2O production driven by ammonia-oxidizing archaea and bacteria in a tropical vegetable soil</t>
  </si>
  <si>
    <t>miao, chen/KCL-0955-2024; fan, chang/JKH-8311-2023</t>
  </si>
  <si>
    <t>MIAO, CHEN/0000-0001-5165-9823; Changhua, Fan/0000-0001-5804-7694</t>
  </si>
  <si>
    <t>AUG 10</t>
  </si>
  <si>
    <t>10.1016/j.scitotenv.2021.146746</t>
  </si>
  <si>
    <t>WOS:000655618600009</t>
  </si>
  <si>
    <t>Barcelos, JPDQ; De Souza, M; Do Nascimento, CAC; Rosolem, CA</t>
  </si>
  <si>
    <t>De Queiroz Barcelos, Jessica Pigatto; De Souza, Murilo; Do Nascimento, Carlos Antonio Costa; Rosolem, Ciro Antonio</t>
  </si>
  <si>
    <t>Nascimento, Carlos/V-6054-2019; Rosolem, Ciro Antonio/S-1504-2019; Pigatto de Queiroz Barcelos, Jessica/B-4070-2017</t>
  </si>
  <si>
    <t>Pigatto de Queiroz Barcelos, Jessica/0000-0002-2165-0606; /0000-0003-3786-9845</t>
  </si>
  <si>
    <t>10.1016/j.geoderma.2022.115909</t>
  </si>
  <si>
    <t>WOS:000893964200003</t>
  </si>
  <si>
    <t>Kölln, OT; Franco, HCJ; Ferreira, DA; Vargas, VP; Castro, SAD; Cantarella, H; Caldana, C; Trivelin, PCO</t>
  </si>
  <si>
    <t>Koelln, Oriel Tiago; Junqueira Franco, Henrique Coutinho; Ferreira, Danilo Alves; Vargas, Vitor Paulo; de Quassi Castro, Saulo Augusto; Cantarella, Heitor; Caldana, Camila; Ocheuze Trivelin, Paulo Cesar</t>
  </si>
  <si>
    <t>Root extracts of Bracchiaria humidicola and Saccharum spontaneum to increase N use by sugarcane</t>
  </si>
  <si>
    <t>Cantarella, Heitor/B-1699-2018; Kölln, Oriel/C-8126-2016; Trivelin, Paulo/D-7605-2012; Quassi de Castro, Saulo Augusto/C-5929-2018</t>
  </si>
  <si>
    <t>Kolln, Oriel/0000-0002-8507-9808; Quassi de Castro, Saulo Augusto/0000-0002-8618-6517</t>
  </si>
  <si>
    <t>JAN-FEB</t>
  </si>
  <si>
    <t>10.1590/0103-9016-2015-0093</t>
  </si>
  <si>
    <t>WOS:000367158900006</t>
  </si>
  <si>
    <t>Guo, CQ; Wang, HM; Zou, DB; Wang, Y; Han, XR</t>
  </si>
  <si>
    <t>Guo, Changqing; Wang, Hongmei; Zou, Dianbo; Wang, Yue; Han, Xiaori</t>
  </si>
  <si>
    <t>A novel amended nitrification inhibitor confers an enhanced suppression role in the nitrification of ammonium in soil</t>
  </si>
  <si>
    <t>Guo, Changqing/MIP-8396-2025</t>
  </si>
  <si>
    <t>10.1007/s11368-021-03118-3</t>
  </si>
  <si>
    <t>WOS:000736930800001</t>
  </si>
  <si>
    <t>Wu, SF; Wu, LH; Shi, QW; Wang, ZQ; Chen, XY; Li, YS</t>
  </si>
  <si>
    <t>Wu Shao-fu; Wu Liang-huan; Shi Qi-wei; Wang Zhong-qiang; Chen Xian-you; Li Yong-shan</t>
  </si>
  <si>
    <t>Effects of a new nitrification inhibitor 3,4-dimethylpyrazole phosphate (DMPP) on nitrate and potassium leaching in two soils</t>
  </si>
  <si>
    <t>Li, Yongshan/0009-0007-2585-3121</t>
  </si>
  <si>
    <t>10.1016/S1001-0742(07)60140-5</t>
  </si>
  <si>
    <t>WOS:000248095400012</t>
  </si>
  <si>
    <t>Hartman, WH; de Mesquita, CPB; Theroux, SM; Morgan-Lang, C; Baldocchi, DD; Tringe, SG</t>
  </si>
  <si>
    <t>Hartman, Wyatt H.; Bueno de Mesquita, Clifton P.; Theroux, Susanna M.; Morgan-Lang, Connor; Baldocchi, Dennis D.; Tringe, Susannah G.</t>
  </si>
  <si>
    <t>Multiple microbial guilds mediate soil methane cycling along a wetland salinity gradient</t>
  </si>
  <si>
    <t>MSYSTEMS</t>
  </si>
  <si>
    <t>Baldocchi, Dennis/A-1625-2009; Morgan-Lang, Connor/P-5309-2014; Tringe, Susannah/T-9431-2019; Bueno de Mesquita, Clifton/AAA-6180-2019</t>
  </si>
  <si>
    <t>Bueno de Mesquita, Clifton/0000-0002-2565-7100; Tringe, Susannah/0000-0001-6479-8427</t>
  </si>
  <si>
    <t>2379-5077</t>
  </si>
  <si>
    <t>JAN 23</t>
  </si>
  <si>
    <t>10.1128/msystems.00936-23</t>
  </si>
  <si>
    <t>WOS:001135894600001</t>
  </si>
  <si>
    <t>Guo, JX; Zhou, YX; Guo, HJ; Min, W</t>
  </si>
  <si>
    <t>Guo, Jiaxin; Zhou, Yongxue; Guo, Huijuan; Min, Wei</t>
  </si>
  <si>
    <t>Saline and alkaline stresses alter soil properties and composition and structure of gene-based nitrifier and denitrifier communities in a calcareous desert soil</t>
  </si>
  <si>
    <t>BMC MICROBIOLOGY</t>
  </si>
  <si>
    <t>MIN, WEI/KMX-3918-2024; guo, JiaXin/IUN-5825-2023</t>
  </si>
  <si>
    <t>guo, jia xin/0000-0002-5629-1535</t>
  </si>
  <si>
    <t>1471-2180</t>
  </si>
  <si>
    <t>10.1186/s12866-021-02313-z</t>
  </si>
  <si>
    <t>WOS:000695828900001</t>
  </si>
  <si>
    <t>Balan, SA; Welsh, H; Amundson, R</t>
  </si>
  <si>
    <t>Balan, Simona A.; Welsh, Hannah; Amundson, Ronald</t>
  </si>
  <si>
    <t>Comparative C, N, and S cycling along a Californian grassland chronosequence</t>
  </si>
  <si>
    <t>Amundson, Ronald/E-2654-2015</t>
  </si>
  <si>
    <t>Amundson, Ronald/0000-0003-1510-7313; Balan, Simona/0000-0003-0438-1616</t>
  </si>
  <si>
    <t>10.1016/j.geoderma.2023.116682</t>
  </si>
  <si>
    <t>WOS:001097420800001</t>
  </si>
  <si>
    <t>Benckiser, G; Christ, E; Herbert, T; Weiske, A; Blome, J; Hardt, M</t>
  </si>
  <si>
    <t>Benckiser, Gero; Christ, Elke; Herbert, Tobias; Weiske, Achim; Blome, Johannes; Hardt, Martin</t>
  </si>
  <si>
    <t>The nitrification inhibitor 3,4-dimethylpyrazole-phosphat (DMPP) - quantification and effects on soil metabolism</t>
  </si>
  <si>
    <t>10.1007/s11104-013-1664-6</t>
  </si>
  <si>
    <t>WOS:000324882500019</t>
  </si>
  <si>
    <t>Chmura, GL; Kellman, L; Guntenspergen, GR</t>
  </si>
  <si>
    <t>Chmura, Gail L.; Kellman, Lisa; Guntenspergen, Glenn R.</t>
  </si>
  <si>
    <t>The greenhouse gas flux and potential global warming feedbacks of a northern macrotidal and microtidal salt marsh</t>
  </si>
  <si>
    <t>ENVIRONMENTAL RESEARCH LETTERS</t>
  </si>
  <si>
    <t>Chmura, Gail/LNI-4648-2024</t>
  </si>
  <si>
    <t>Chmura, Gail/0000-0001-7163-3903</t>
  </si>
  <si>
    <t>1748-9326</t>
  </si>
  <si>
    <t>OCT-DEC</t>
  </si>
  <si>
    <t>10.1088/1748-9326/6/4/044016</t>
  </si>
  <si>
    <t>WOS:000298674700021</t>
  </si>
  <si>
    <t>Malyan, SK; Bhatia, A; Fagodiya, RK; Kumar, SS; Kumar, A; Gupta, DK; Tomer, R; Harit, RC; Kumar, V; Jain, N; Pathak, H</t>
  </si>
  <si>
    <t>Malyan, Sandeep K.; Bhatia, Arti; Fagodiya, Ram Kishor; Kumar, Smita S.; Kumar, Amit; Gupta, Dipak Kumar; Tomer, Ritu; Harit, Ramesh Chand; Kumar, Vinod; Jain, Niveta; Pathak, Himanshu</t>
  </si>
  <si>
    <t>Plummeting global warming potential by chemicals interventions in irrigated rice: A lab to field assessment</t>
  </si>
  <si>
    <t>Malyan, Sandeep/AAJ-6514-2020; Kumar, Amit/ABC-8065-2020; Kumar, Vinod/AFH-8309-2022; Kumar, Smita/O-4532-2019; Fagodiya, Ram K./J-6773-2019</t>
  </si>
  <si>
    <t>Jain, Niveta/0000-0001-6387-7836; Kumar, Smita/0000-0002-9294-7634; Fagodiya, Ram K./0000-0001-7275-2306</t>
  </si>
  <si>
    <t>10.1016/j.agee.2021.107545</t>
  </si>
  <si>
    <t>WOS:000685518100006</t>
  </si>
  <si>
    <t>Lin, CF; Larsen, EI; Grace, PR; Smith, JJ</t>
  </si>
  <si>
    <t>Lin, Chaofeng; Larsen, Eloise I.; Grace, Peter R.; Smith, James J.</t>
  </si>
  <si>
    <t>Microcosm Study of Iron Mobilization and Greenhouse Gas Evolution in Soils of a Plantation-Forested Subtropical Coastal Catchment</t>
  </si>
  <si>
    <t>Lin, Chaofeng/D-3563-2011; Grace, Peter/F-3743-2012; Smith, jim/LOS-8915-2024</t>
  </si>
  <si>
    <t>Grace, Peter/0000-0003-4136-4129; Smith, James/0000-0001-9687-3022</t>
  </si>
  <si>
    <t>10.1007/s11270-012-1209-2</t>
  </si>
  <si>
    <t>WOS:000307276400072</t>
  </si>
  <si>
    <t>Petrova, IP; Pekrun, C; Moeller, K</t>
  </si>
  <si>
    <t>Petrova, Ioana Petrova; Pekrun, Carola; Moeller, Kurt</t>
  </si>
  <si>
    <t>Organic Matter Composition of Digestates Has a Stronger Influence on N2O Emissions than the Supply of Ammoniacal Nitrogen</t>
  </si>
  <si>
    <t>10.3390/agronomy11112215</t>
  </si>
  <si>
    <t>WOS:000724111300001</t>
  </si>
  <si>
    <t>Dong, HB; Yao, ZS; Zheng, XH; Mei, BL; Xie, BH; Wang, R; Deng, J; Cui, F; Zhu, JG</t>
  </si>
  <si>
    <t>Dong, Haibo; Yao, Zhisheng; Zheng, Xunhua; Mei, Baoling; Xie, Baohua; Wang, Rui; Deng, Jia; Cui, Feng; Zhu, Jianguo</t>
  </si>
  <si>
    <t>Effect of ammonium-based, non-sulfate fertilizers on CH4 emissions from a paddy field with a typical Chinese water management regime</t>
  </si>
  <si>
    <t>Yao, Zhisheng/A-5749-2015; Deng, Jia/A-8468-2018; Zheng, Xunhua/AAH-8172-2019; Wang, Rui/AAJ-6579-2020; Zheng, Xunhua/D-3048-2017</t>
  </si>
  <si>
    <t>Yao, Zhisheng/0000-0001-6242-2426; Rui, Wang/0000-0001-5079-1080; Zheng, Xunhua/0000-0002-4138-7470</t>
  </si>
  <si>
    <t>10.1016/j.atmosenv.2010.11.039</t>
  </si>
  <si>
    <t>WOS:000287619500004</t>
  </si>
  <si>
    <t>Pfab, H; Palmer, I; Buegger, F; Fiedler, S; Müller, T; Ruser, R</t>
  </si>
  <si>
    <t>Pfab, Helena; Palmer, Iris; Buegger, Franz; Fiedler, Sabine; Mueller, Torsten; Ruser, Reiner</t>
  </si>
  <si>
    <t>Influence of a nitrification inhibitor and of placed N-fertilization on N2O fluxes from a vegetable cropped loamy soil</t>
  </si>
  <si>
    <t>Palmer, Iris/KDO-0647-2024</t>
  </si>
  <si>
    <t>Ruser, Reiner/0000-0003-0328-1744; Fiedler, Sabine/0000-0001-9696-9630</t>
  </si>
  <si>
    <t>MAR 15</t>
  </si>
  <si>
    <t>10.1016/j.agee.2012.01.001</t>
  </si>
  <si>
    <t>WOS:000302106900010</t>
  </si>
  <si>
    <t>Debreczeni, K; Berecz, K</t>
  </si>
  <si>
    <t>1997 International Soil and Plant Analysis Symposium</t>
  </si>
  <si>
    <t>AUG 02-07, 1997</t>
  </si>
  <si>
    <t>MINNEAPOLIS, MN</t>
  </si>
  <si>
    <t>Soil &amp; Plant Analysis Council Inc</t>
  </si>
  <si>
    <t>11-14</t>
  </si>
  <si>
    <t>10.1080/00103629809370103</t>
  </si>
  <si>
    <t>WOS:000075685600067</t>
  </si>
  <si>
    <t>Shan, J; Zhao, X; Sheng, R; Xia, YQ; Ti, CP; Quan, XF; Wang, SW; Wei, WX; Yan, XY</t>
  </si>
  <si>
    <t>Shan, Jun; Zhao, Xu; Sheng, Rong; Xia, Yongqiu; Ti, Chaopu; Quan, Xiaofei; Wang, Shuwei; Wei, Wenxue; Yan, Xiaoyuan</t>
  </si>
  <si>
    <t>Dissimilatory Nitrate Reduction Processes in Typical Chinese Paddy Soils: Rates, Relative Contributions, and Influencing Factors</t>
  </si>
  <si>
    <t>XIA, Yongqiu/D-6236-2017; Zhao, Xu/I-4527-2019; Shan, Jun/G-2949-2011</t>
  </si>
  <si>
    <t>TI, CHAOPU/0000-0002-6660-8188; Shan, Jun/0000-0002-0276-4456</t>
  </si>
  <si>
    <t>SEP 20</t>
  </si>
  <si>
    <t>10.1021/acs.est.6b01765</t>
  </si>
  <si>
    <t>WOS:000384037900021</t>
  </si>
  <si>
    <t>Zhu, X; Burger, M; Doane, TA; Horwath, WR</t>
  </si>
  <si>
    <t>Zhu, Xia; Burger, Martin; Doane, Timothy A.; Horwath, William R.</t>
  </si>
  <si>
    <t>Ammonia oxidation pathways and nitrifier denitrification are significant sources of N2O and NO under low oxygen availability</t>
  </si>
  <si>
    <t>PROCEEDINGS OF THE NATIONAL ACADEMY OF SCIENCES OF THE UNITED STATES OF AMERICA</t>
  </si>
  <si>
    <t>Zhu-Barker, Xia/F-1520-2015</t>
  </si>
  <si>
    <t>Zhu-Barker, Xia/0000-0001-9050-3696</t>
  </si>
  <si>
    <t>0027-8424</t>
  </si>
  <si>
    <t>APR 16</t>
  </si>
  <si>
    <t>10.1073/pnas.1219993110</t>
  </si>
  <si>
    <t>WOS:000318041500030</t>
  </si>
  <si>
    <t>Wang, C; Lai, DYF; Sardans, J; Wang, WQ; Zeng, CS; Peñuelas, J</t>
  </si>
  <si>
    <t>Wang, Chun; Lai, Derrick Y. F.; Sardans, Jordi; Wang, Weiqi; Zeng, Congsheng; Penuelas, Josep</t>
  </si>
  <si>
    <t>Factors Related with CH4 and N2O Emissions from a Paddy Field: Clues for Management implications</t>
  </si>
  <si>
    <t>PLOS ONE</t>
  </si>
  <si>
    <t>Wang, weiqi/AAN-8209-2020; Penuelas, Josep/D-9704-2011; Sardans, Jordi/AEM-0228-2022; Lai, Derrick Y.F./B-1387-2009</t>
  </si>
  <si>
    <t>Lai, Derrick Y.F./0000-0002-1225-9904; wang, weiqi/0000-0001-8503-0978</t>
  </si>
  <si>
    <t>1932-6203</t>
  </si>
  <si>
    <t>JAN 12</t>
  </si>
  <si>
    <t>e0169254</t>
  </si>
  <si>
    <t>10.1371/journal.pone.0169254</t>
  </si>
  <si>
    <t>WOS:000391949500035</t>
  </si>
  <si>
    <t>Mastrocicco, M; Colombani, N; Castaldelli, G</t>
  </si>
  <si>
    <t>Mastrocicco, Micol; Colombani, Nicolo; Castaldelli, Giuseppe</t>
  </si>
  <si>
    <t>Direct measurement of dissolved dinitrogen to refine reactive modelling of denitrification in agricultural soils</t>
  </si>
  <si>
    <t>colombani, nicolo/J-2336-2015; Castaldelli, Giuseppe/Q-8301-2016; mastrocicco, micol/J-2291-2015</t>
  </si>
  <si>
    <t>colombani, nicolo/0000-0002-6593-8505; Castaldelli, Giuseppe/0000-0001-5954-1133; mastrocicco, micol/0000-0003-3251-9117</t>
  </si>
  <si>
    <t>10.1016/j.scitotenv.2018.07.428</t>
  </si>
  <si>
    <t>WOS:000447090400015</t>
  </si>
  <si>
    <t>Corrochano-Monsalve, M; Huérfano, X; Menéndez, S; Torralbo, F; Fuertes-Mendizábal, T; Estavillo, JM; González-Murua, C</t>
  </si>
  <si>
    <t>Corrochano-Monsalve, Mario; Huerfano, Ximena; Menendez, Sergio; Torralbo, Fernando; Fuertes-Mendizabal, Teresa; Estavillo, Jose-Maria; Gonzalez-Murua, Carmen</t>
  </si>
  <si>
    <t>Relationship between tillage management and DMPSA nitrification inhibitor efficiency</t>
  </si>
  <si>
    <t>Torralbo, Fernando/AAU-1491-2021; ESTAVILLO, José-María/P-5711-2019; Fuertes-Mendizabal, Teresa/JBJ-2207-2023; Huerfano, Ximena/AAY-4250-2021; CORROCHANO-MONSALVE, MARIO/GQP-6793-2022; Fuertes-Mendizabal, Teresa/Y-1498-2018; Menendez, Sergio/J-9373-2014; Gonzalez-Murua, Carmen/J-2968-2012</t>
  </si>
  <si>
    <t>Fuertes-Mendizabal, Teresa/0000-0003-2307-3424; ESTAVILLO, Jose-Maria/0000-0002-3986-8005; Menendez, Sergio/0000-0002-2245-9088; Fuertes-Mendizabal, Teresa/0000-0002-2736-0765; Corrochano-Monsalve, Mario/0000-0002-8191-1847; Torralbo, Fernando/0000-0002-7592-4932; Gonzalez-Murua, Carmen/0000-0003-0310-5804</t>
  </si>
  <si>
    <t>10.1016/j.scitotenv.2019.134748</t>
  </si>
  <si>
    <t>WOS:000526029000114</t>
  </si>
  <si>
    <t>Thers, H; Petersen, SO; Elsgaard, L</t>
  </si>
  <si>
    <t>Thers, Henrik; Petersen, Soren O.; Elsgaard, Lars</t>
  </si>
  <si>
    <t>DMPP reduced nitrification, but not annual N2O emissions from mineral fertilizer applied to oilseed rape on a sandy loam soil</t>
  </si>
  <si>
    <t>GLOBAL CHANGE BIOLOGY BIOENERGY</t>
  </si>
  <si>
    <t>Thers, Henrik/AAJ-2757-2020; Elsgaard, Lars/A-7698-2013</t>
  </si>
  <si>
    <t>Thers, Henrik/0000-0001-9166-1418; Elsgaard, Lars/0000-0003-0058-7609</t>
  </si>
  <si>
    <t>1757-1693</t>
  </si>
  <si>
    <t>1757-1707</t>
  </si>
  <si>
    <t>10.1111/gcbb.12642</t>
  </si>
  <si>
    <t>WOS:000486592100001</t>
  </si>
  <si>
    <t>Huérfano, X; Fuertes-Mendizábal, T; Fernández-Diez, K; Estavillo, JM; González-Murua, C; Menéndez, S</t>
  </si>
  <si>
    <t>Huerfano, Ximena; Fuertes-Mendizabal, Teresa; Fernandez-Diez, Kevin; Maria Estavillo, Jose; Gonzalez-Murua, Carmen; Menendez, Sergio</t>
  </si>
  <si>
    <t>The new nitrification inhibitor 3,4-dimethylpyrazole succinic (DMPSA) as an alternative to DMPP for reducing N2O emissions from wheat crops under humid Mediterranean conditions</t>
  </si>
  <si>
    <t>ESTAVILLO, José-María/P-5711-2019; Fuertes-Mendizabal, Teresa/JBJ-2207-2023; Huerfano, Ximena/AAY-4250-2021; Menendez, Sergio/J-9373-2014; Fuertes-Mendizabal, Teresa/Y-1498-2018; Gonzalez-Murua, Carmen/J-2968-2012</t>
  </si>
  <si>
    <t>ESTAVILLO, Jose-Maria/0000-0002-3986-8005; Menendez, Sergio/0000-0002-2245-9088; Fuertes-Mendizabal, Teresa/0000-0003-2307-3424; Gonzalez-Murua, Carmen/0000-0003-0310-5804; Fuertes-Mendizabal, Teresa/0000-0002-2736-0765; Huerfano Salinas, Ximena/0000-0001-5760-4006</t>
  </si>
  <si>
    <t>10.1016/j.eja.2016.07.001</t>
  </si>
  <si>
    <t>WOS:000383942400008</t>
  </si>
  <si>
    <t>da Silva, RB; Antunes, T; Rosa, JS; Packer, AP; Bento, CB; do Carmo, JB; Silva, FAD</t>
  </si>
  <si>
    <t>da Silva, Reginaldo Barboza; Antunes, Taline; Rosa, Jessica Silva; Packer, Ana Paula; Bento, Camila Bolfarini; do Carmo, Janaina Braga; de Melo Silva, Francisca Alcivania</t>
  </si>
  <si>
    <t>CO2, CH4 and N2O emissions after fertilizer application in banana plantations located in the Brazilian Atlantic Forest</t>
  </si>
  <si>
    <t>SOIL USE AND MANAGEMENT</t>
  </si>
  <si>
    <t>Packer, Ana/D-8851-2015; Silva, Francisca/AAB-6157-2019; Braga do Carmo, Janaina/D-5648-2013</t>
  </si>
  <si>
    <t>Da Silva, Reginaldo Barboza/0000-0002-2171-7073; Braga do Carmo, Janaina/0000-0002-2871-9880</t>
  </si>
  <si>
    <t>0266-0032</t>
  </si>
  <si>
    <t>1475-2743</t>
  </si>
  <si>
    <t>10.1111/sum.12822</t>
  </si>
  <si>
    <t>MAY 2022</t>
  </si>
  <si>
    <t>WOS:000798914600001</t>
  </si>
  <si>
    <t>Wang, HT; Liao, GS; D'Souza, M; Yu, XQ; Yang, J; Yang, XR; Zheng, TL</t>
  </si>
  <si>
    <t>Wang, Haitao; Liao, Guanshun; D'Souza, Melissa; Yu, Xiaoqing; Yang, Jun; Yang, Xiaoru; Zheng, Tianling</t>
  </si>
  <si>
    <t>Temporal and spatial variations of greenhouse gas fluxes from a tidal mangrove wetland in Southeast China</t>
  </si>
  <si>
    <t>2nd Contaminated Land, Ecological Assessment and Remediation (CLEAR 2014) Conference - Environmental Pollution and Remediation</t>
  </si>
  <si>
    <t>OCT 05-08, 2014</t>
  </si>
  <si>
    <t>Chuncheon, SOUTH KOREA</t>
  </si>
  <si>
    <t>Zheng, TL/G-3974-2010; Yang, Xiao-Ru/AAW-6028-2020; Yu, Xiaoqing/E-2388-2013; YANG, Jun/E-6680-2011</t>
  </si>
  <si>
    <t>YANG, Jun/0000-0002-7920-2777</t>
  </si>
  <si>
    <t>10.1007/s11356-015-5440-4</t>
  </si>
  <si>
    <t>WOS:000368200200088</t>
  </si>
  <si>
    <t>Klüber, HD; Conrad, R</t>
  </si>
  <si>
    <t>Inhibitory effects of nitrate, nitrite, NO and N2O on methanogenesis by Methanosarcina barkeri and Methanobacterium bryantii</t>
  </si>
  <si>
    <t>WOS:000073142200002</t>
  </si>
  <si>
    <t>Ardón, M; Helton, AM; Bernhardt, ES</t>
  </si>
  <si>
    <t>Ardon, Marcelo; Helton, Ashley M.; Bernhardt, Emily S.</t>
  </si>
  <si>
    <t>Salinity effects on greenhouse gas emissions from wetland soils are contingent upon hydrologic setting: a microcosm experiment</t>
  </si>
  <si>
    <t>; /B-4541-2010</t>
  </si>
  <si>
    <t>Helton, Ashley/0000-0001-6928-2104; /0000-0003-3031-621X; Ardon, Marcelo/0000-0001-7275-2672</t>
  </si>
  <si>
    <t>10.1007/s10533-018-0486-2</t>
  </si>
  <si>
    <t>WOS:000443287600006</t>
  </si>
  <si>
    <t>Lebender, U; Senbayram, M; Lammel, J; Kuhlmann, H</t>
  </si>
  <si>
    <t>Lebender, Ulrike; Senbayram, Mehmet; Lammel, Joachim; Kuhlmann, Hermann</t>
  </si>
  <si>
    <t>senbayram, mehmet/AAC-4231-2021</t>
  </si>
  <si>
    <t>Senbayram, Mehmet/0000-0002-5567-6580; Lebender, Ulrike/0000-0003-4185-6115</t>
  </si>
  <si>
    <t>10.1002/jpln.201300292</t>
  </si>
  <si>
    <t>WOS:000342852200007</t>
  </si>
  <si>
    <t>Kleyböcker, A; Kraus, F; Meyer, S; Heinze, J; Gromadecki, F; Remy, C</t>
  </si>
  <si>
    <t>Kleyboecker, Anne; Kraus, Fabian; Meyer, Stefanie; Heinze, Janina; Gromadecki, Franziska; Remy, Christian</t>
  </si>
  <si>
    <t>Toward carbon neutrality and circular economy: an innovative combination of enhanced biogas production and nutrient recovery from sludge dewatering liquor at a municipal wastewater treatment plant in Germany</t>
  </si>
  <si>
    <t>WATER SCIENCE AND TECHNOLOGY</t>
  </si>
  <si>
    <t>Kleybocker, Anne/0000-0003-2940-5063</t>
  </si>
  <si>
    <t>0273-1223</t>
  </si>
  <si>
    <t>1996-9732</t>
  </si>
  <si>
    <t>AUG 1</t>
  </si>
  <si>
    <t>10.2166/wst.2024.247</t>
  </si>
  <si>
    <t>WOS:001273117700001</t>
  </si>
  <si>
    <t>Veldkamp, E; Weitz, AM; Keller, M</t>
  </si>
  <si>
    <t>Management effects on methane fluxes in humid tropical pasture soils</t>
  </si>
  <si>
    <t>Veldkamp, Edzo/A-6660-2008; Keller, Michael/A-8976-2012</t>
  </si>
  <si>
    <t>Veldkamp, Edzo/0000-0002-8318-8349; Keller, Michael/0000-0002-0253-3359</t>
  </si>
  <si>
    <t>10.1016/S0038-0717(01)00060-8</t>
  </si>
  <si>
    <t>WOS:000170848300007</t>
  </si>
  <si>
    <t>Barth, G; Von Tucher, S; Schmidhalter, U</t>
  </si>
  <si>
    <t>Barth, G.; Von Tucher, S.; Schmidhalter, U.</t>
  </si>
  <si>
    <t>Effectiveness of 3,4-dimethylpyrazole phosphate as nitrification inhibitor in soil as influenced by inhibitor concentration, application form, and soil matric potential</t>
  </si>
  <si>
    <t>von Tucher, Sabine/ABA-6200-2021; Schmidhalter, Urs/C-5477-2012</t>
  </si>
  <si>
    <t>Schmidhalter, Urs/0000-0003-4106-7124</t>
  </si>
  <si>
    <t>10.1016/S1002-0160(08)60028-4</t>
  </si>
  <si>
    <t>WOS:000256128300012</t>
  </si>
  <si>
    <t>Zhu-Barker, X; Horwath, WR; Burger, M</t>
  </si>
  <si>
    <t>Zhu-Barker, Xia; Horwath, William R.; Burger, Martin</t>
  </si>
  <si>
    <t>Knife-injected anhydrous ammonia increases yield-scaled N2O emissions compared to broadcast or band-applied ammonium sulfate in wheat</t>
  </si>
  <si>
    <t>DEC 20</t>
  </si>
  <si>
    <t>10.1016/j.agee.2015.06.025</t>
  </si>
  <si>
    <t>WOS:000361261100015</t>
  </si>
  <si>
    <t>Cui, L; Li, DP; Wu, ZJ; Xue, Y; Xiao, FR; Zhang, LL; Song, YC; Li, YH; Zheng, Y; Zhang, JM; Cui, YK</t>
  </si>
  <si>
    <t>Cui, Lei; Li, Dongpo; Wu, Zhijie; Xue, Yan; Xiao, Furong; Zhang, Lili; Song, Yuchao; Li, Yonghua; Zheng, Ye; Zhang, Jinming; Cui, Yongkun</t>
  </si>
  <si>
    <t>Effects of Nitrification Inhibitors on Soil Nitrification and Ammonia Volatilization in Three Soils with Different pH</t>
  </si>
  <si>
    <t>song, yuchao/AAB-7468-2019; Zhang, Lili/AAA-1485-2021</t>
  </si>
  <si>
    <t>Li, Dongpo/0000-0003-0262-4821</t>
  </si>
  <si>
    <t>10.3390/agronomy11081674</t>
  </si>
  <si>
    <t>WOS:000688668800001</t>
  </si>
  <si>
    <t>Bozal-Leorri, A; González-Murua, C; Marino, D; Aparicio-Tejo, PM; Corrochano-Monsalve, M</t>
  </si>
  <si>
    <t>Bozal-Leorri, Adrian; Gonzalez-Murua, Carmen; Marino, Daniel; Aparicio-Tejo, Pedro M.; Corrochano-Monsalve, Mario</t>
  </si>
  <si>
    <t>Assessing the efficiency of dimethylpyrazole-based nitrification inhibitors under elevated CO2 conditions</t>
  </si>
  <si>
    <t>CORROCHANO-MONSALVE, MARIO/GQP-6793-2022; Bozal-Leorri, Adrian/AAB-1003-2021; Tejo, Pedro/E-9062-2011; Gonzalez-Murua, Carmen/J-2968-2012; Marino, Daniel/AAZ-2971-2020</t>
  </si>
  <si>
    <t>Corrochano-Monsalve, Mario/0000-0002-8191-1847; BOZAL-LEORRI, ADRIAN/0000-0001-6617-1222; Gonzalez-Murua, Carmen/0000-0003-0310-5804; Marino, Daniel/0000-0002-8788-6646</t>
  </si>
  <si>
    <t>OCT 15</t>
  </si>
  <si>
    <t>10.1016/j.geoderma.2021.115160</t>
  </si>
  <si>
    <t>WOS:000659471100011</t>
  </si>
  <si>
    <t>Wang, ZH; Li, K; Shen, XY; Yan, FF; Zhao, XK; Xin, Y; Ji, LH; Xiang, QY; Xu, XY; Li, DJ; Ran, JH; Xu, XY; Chen, QF</t>
  </si>
  <si>
    <t>Wang, Zihao; Li, Kun; Shen, Xiaoyan; Yan, Feifei; Zhao, Xinkun; Xin, Yu; Ji, Linhui; Xiang, Qingyue; Xu, Xinyi; Li, Daijia; Ran, Junhao; Xu, Xiaoya; Chen, Qingfeng</t>
  </si>
  <si>
    <t>Soil nitrogen substances and denitrifying communities regulate the anaerobic oxidation of methane in wetlands of Yellow River Delta, China</t>
  </si>
  <si>
    <t>Xu, Xiaoya/IYJ-2480-2023; XU, XINYI/KHC-3348-2024</t>
  </si>
  <si>
    <t>JAN 20</t>
  </si>
  <si>
    <t>10.1016/j.scitotenv.2022.159439</t>
  </si>
  <si>
    <t>OCT 2022</t>
  </si>
  <si>
    <t>WOS:000897790500010</t>
  </si>
  <si>
    <t>Bannert, A; Bogen, C; Esperschütz, J; Koubová, A; Buegger, F; Fischer, D; Radl, V; Fuss, R; Chronáková, A; Elhottová, D; Simek, M; Schloter, M</t>
  </si>
  <si>
    <t>Bannert, A.; Bogen, C.; Esperschuetz, J.; Koubova, A.; Buegger, F.; Fischer, D.; Radl, V.; Fuss, R.; Chronakova, A.; Elhottova, D.; Simek, M.; Schloter, M.</t>
  </si>
  <si>
    <t>Anaerobic oxidation of methane in grassland soils used for cattle husbandry</t>
  </si>
  <si>
    <t>Fischer, Doreen/H-8980-2013; Šimek, Miloslav/G-1532-2014; Elhottová, Dana/G-1168-2014; Schloter, Michael/H-9151-2013; Chronakova, Alica/G-1422-2014; Fuss, Roland/F-3866-2011; Koubova, Anna/O-7371-2017</t>
  </si>
  <si>
    <t>Chronakova, Alica/0000-0002-3316-6862; Fuss, Roland/0000-0002-0274-0809; Koubova, Anna/0000-0002-5763-1239</t>
  </si>
  <si>
    <t>10.5194/bg-9-3891-2012</t>
  </si>
  <si>
    <t>WOS:000310471800012</t>
  </si>
  <si>
    <t>Chakraborty, R; Purakayastha, TJ; Pendall, E; Dey, S; Jain, N; Kumar, S</t>
  </si>
  <si>
    <t>Chakraborty, Ranabir; Purakayastha, Tapan Jyoti; Pendall, Elise; Dey, Saptaparnee; Jain, Niveta; Kumar, Sarvendra</t>
  </si>
  <si>
    <t>Nitrification and urease inhibitors mitigate global warming potential and ammonia volatilization from urea in rice-wheat system in India: A field to lab experiment</t>
  </si>
  <si>
    <t>Chakraborty, Ranabir/AAH-3305-2021; Pendall, Elise/AAF-5667-2020</t>
  </si>
  <si>
    <t>Chakraborty, Ranabir/0000-0002-0875-8399</t>
  </si>
  <si>
    <t>NOV 10</t>
  </si>
  <si>
    <t>10.1016/j.scitotenv.2023.165479</t>
  </si>
  <si>
    <t>JUL 2023</t>
  </si>
  <si>
    <t>WOS:001052096700001</t>
  </si>
  <si>
    <t>Grageda-Cabrera, OA; Vera-Núñez, JA; Aguilar-Acuña, JL; Macías-Rodríguez, L; Aguado-Santacruz, GA; Peña-Cabriales, JJ</t>
  </si>
  <si>
    <t>Grageda-Cabrera, O. A.; Vera-Nunez, J. A.; Aguilar-Acuna, J. L.; Macias-Rodriguez, L.; Aguado-Santacruz, G. A.; Pena-Cabriales, J. J.</t>
  </si>
  <si>
    <t>Fertilizer dynamics in different tillage and crop rotation systems in a Vertisol in Central Mexico</t>
  </si>
  <si>
    <t>Macias-Rodriguez, Lourdes/HRC-3095-2023; Grageda, Oscar/KHC-3892-2024</t>
  </si>
  <si>
    <t>GRAGEDA CABRERA, OSCAR ARATH/0000-0001-5539-1529; Macias-Rodriguez, Lourdes/0000-0002-6361-6238</t>
  </si>
  <si>
    <t>10.1007/s10705-010-9382-4</t>
  </si>
  <si>
    <t>WOS:000285365100011</t>
  </si>
  <si>
    <t>Arai, H; Yoshioka, R; Hanazawa, S; Minh, VQ; Tuan, VQ; Tinh, TK; Phu, TQ; Jha, CS; Rodda, SR; Dadhwal, VK; Mano, M; Inubushi, K</t>
  </si>
  <si>
    <t>Arai, Hironori; Yoshioka, Ryo; Hanazawa, Syunsuke; Vo Quang Minh; Vo Quoc Tuan; Tran Kim Tinh; Truong Quoc Phu; Jha, Chandra Shekhar; Rodda, Suraj Reddy; Dadhwal, Vinay Kumar; Mano, Masayoshi; Inubushi, Kazuyuki</t>
  </si>
  <si>
    <t>Function of the methanogenic community in mangrove soils as influenced by the chemical properties of the hydrosphere</t>
  </si>
  <si>
    <t>INUBUSHI, Kazuyuki/I-8717-2014; Dadhwal, Vinay/F-9825-2010; Minh, Vo Quang/S-9905-2019</t>
  </si>
  <si>
    <t>Minh, Vo Quang/0000-0001-8574-7151; Inubushi, Kazuyuki/0000-0002-2230-0755</t>
  </si>
  <si>
    <t>10.1080/00380768.2016.1165598</t>
  </si>
  <si>
    <t>WOS:000374909900007</t>
  </si>
  <si>
    <t>Schäfer, CM; Elsgaard, L; Hoffmann, CC; Petersen, SO</t>
  </si>
  <si>
    <t>Schafer, C. -M.; Elsgaard, L.; Hoffmann, C. C.; Petersen, S. O.</t>
  </si>
  <si>
    <t>Seasonal methane dynamics in three temperate grasslands on peat</t>
  </si>
  <si>
    <t>Petersen, Soren/E-9714-2016; Hoffmann, Carl/B-6714-2011; Elsgaard, Lars/A-7698-2013</t>
  </si>
  <si>
    <t>Elsgaard, Lars/0000-0003-0058-7609</t>
  </si>
  <si>
    <t>10.1007/s11104-012-1168-9</t>
  </si>
  <si>
    <t>WOS:000306552700026</t>
  </si>
  <si>
    <t>Huérfano, X; Estavillo, JM; Fuertes-Mendizábal, T; Torralbo, F; González-Murua, C; Menéndez, S</t>
  </si>
  <si>
    <t>Huerfano, Ximena; Maria Estavillo, Jose; Fuertes-Mendizabal, Teresa; Torralbo, Fernando; Gonzalez-Murua, Carmen; Menendez, Sergio</t>
  </si>
  <si>
    <t>DMPSA and DMPP equally reduce N2O emissions from a maize-ryegrass forage rotation under Atlantic climate conditions</t>
  </si>
  <si>
    <t>Fuertes-Mendizabal, Teresa/JBJ-2207-2023; Torralbo, Fernando/AAU-1491-2021; Huerfano, Ximena/AAY-4250-2021; ESTAVILLO, José-María/P-5711-2019; Menendez, Sergio/J-9373-2014; Fuertes-Mendizabal, Teresa/Y-1498-2018; Gonzalez-Murua, Carmen/J-2968-2012</t>
  </si>
  <si>
    <t>Menendez, Sergio/0000-0002-2245-9088; Torralbo, Fernando/0000-0002-7592-4932; Fuertes-Mendizabal, Teresa/0000-0002-2736-0765; ESTAVILLO, Jose-Maria/0000-0002-3986-8005; Fuertes-Mendizabal, Teresa/0000-0003-2307-3424; Gonzalez-Murua, Carmen/0000-0003-0310-5804</t>
  </si>
  <si>
    <t>10.1016/j.atmosenv.2018.05.065</t>
  </si>
  <si>
    <t>WOS:000439672800022</t>
  </si>
  <si>
    <t>Derafshi, M; Lajayer, BA; Hassani, A; Dell, B</t>
  </si>
  <si>
    <t>Derafshi, Mehdi; Asgari Lajayer, Behnam; Hassani, Akbar; Dell, Bernard</t>
  </si>
  <si>
    <t>Effects of acidifiers on soil greenhouse gas emissions in calcareous soils in a semi-arid area</t>
  </si>
  <si>
    <t>SCIENTIFIC REPORTS</t>
  </si>
  <si>
    <t>Asgari Lajayer, Behnam/J-5143-2019; Hassani, Akbar/S-7942-2019</t>
  </si>
  <si>
    <t>Dell, Bernard/0000-0001-8623-6425; Asgari Lajayer, Behnam/0000-0001-7609-5833; Hassani, Akbar/0000-0003-4868-1629</t>
  </si>
  <si>
    <t>2045-2322</t>
  </si>
  <si>
    <t>MAR 29</t>
  </si>
  <si>
    <t>10.1038/s41598-023-32127-0</t>
  </si>
  <si>
    <t>WOS:001003614500007</t>
  </si>
  <si>
    <t>Bandara, WBMAC; Sakai, K; Anan, M; Nakamura, S; Setouchi, H; Noborio, K; Kai, TKMT; Rathnappriya, RHK</t>
  </si>
  <si>
    <t>Bandara, W. B. M. A. C.; Sakai, Kazuhito; Anan, Mitsumasa; Nakamura, Shinya; Setouchi, Hideki; Noborio, Kosuke; Kai, Takamitsu; Rathnappriya, R. H. K.</t>
  </si>
  <si>
    <t>N2O emissions from controlled-release and conventional N-fertilizers applied to red-yellow soil in Okinawa, Japan</t>
  </si>
  <si>
    <t>Rathnappriya, Himasha/JJG-1958-2023; Bandara, W.B.M.A.C./AAU-3055-2020</t>
  </si>
  <si>
    <t>Bandara, W.B.M.A.C./0000-0001-7382-4375; Rathnappriya, Himasha/0000-0001-6980-1680</t>
  </si>
  <si>
    <t>10.1016/j.still.2024.106376</t>
  </si>
  <si>
    <t>WOS:001391254400001</t>
  </si>
  <si>
    <t>Castellano-Hinojosa, A; González-López, J; Vallejo, A; Bedmar, EJ</t>
  </si>
  <si>
    <t>ZunigaDavila, D; GonzalezAndres, F; OrmenoOrrillo, E</t>
  </si>
  <si>
    <t>Castellano-Hinojosa, Antonio; Gonzalez-Lopez, Jesus; Vallejo, Antonio; Bedmar, Eulogio J.</t>
  </si>
  <si>
    <t>Linking Ammonia Volatilization with Moisture Content and Abundance of Nitrification and Denitrification Genes in N-Fertilized Soils</t>
  </si>
  <si>
    <t>MICROBIAL PROBIOTICS FOR AGRICULTURAL SYSTEMS: ADVANCES IN AGRONOMIC USE</t>
  </si>
  <si>
    <t>Sustainability in Plant and Crop Protection</t>
  </si>
  <si>
    <t>3rd Ibero-American Conference on Beneficial Plant-Microorganisms-Environment Interactions (IBEMPA)</t>
  </si>
  <si>
    <t>NOV 06-10, 2017</t>
  </si>
  <si>
    <t>Univ Agraria La Molina, Lima, PERU</t>
  </si>
  <si>
    <t>Univ Agraria La Molina</t>
  </si>
  <si>
    <t>Castellano Hinojosa, Antonio/P-1988-2014; Vallejo García, Antonio/K-6823-2014</t>
  </si>
  <si>
    <t>978-3-030-17597-9; 978-3-030-17596-2</t>
  </si>
  <si>
    <t>10.1007/978-3-030-17597-9_3</t>
  </si>
  <si>
    <t>WOS:000578327200003</t>
  </si>
  <si>
    <t>Wang, X; Wells, NS; Xiao, W; Hamilton, JL; Jones, AM; Collins, RN</t>
  </si>
  <si>
    <t>Wang, Xin; Wells, Naomi S.; Xiao, Wei; Hamilton, Jessica L.; Jones, Adele M.; Collins, Richard N.</t>
  </si>
  <si>
    <t>Abiotic reduction of nitrate to ammonium by iron (oxy)(hydr)oxides and its stable isotope (815N,818O) dynamics</t>
  </si>
  <si>
    <t>GEOCHIMICA ET COSMOCHIMICA ACTA</t>
  </si>
  <si>
    <t>Hamilton, Jessica/AAH-5806-2020; Xiao, Wei/K-6745-2018; Wells, Naomi/H-6250-2013</t>
  </si>
  <si>
    <t>0016-7037</t>
  </si>
  <si>
    <t>1872-9533</t>
  </si>
  <si>
    <t>10.1016/j.gca.2023.02.013</t>
  </si>
  <si>
    <t>MAR 2023</t>
  </si>
  <si>
    <t>WOS:000990982800001</t>
  </si>
  <si>
    <t>Wassmann, R; Lantin, RS; Neue, HU; Buendia, LV; Corton, TM; Lu, Y</t>
  </si>
  <si>
    <t>Characterization of methane emissions from rice fields in Asia. III. Mitigation options and future research needs</t>
  </si>
  <si>
    <t>Lu, Yahai/A-5030-2013</t>
  </si>
  <si>
    <t>Lu, Yahai/0000-0002-1702-9868</t>
  </si>
  <si>
    <t>10.1023/A:1009874014903</t>
  </si>
  <si>
    <t>WOS:000166362400003</t>
  </si>
  <si>
    <t>Hartfiel, LM; Hoover, NL; Hall, SJ; Isenhart, TM; Gomes, CL; Soupir, ML</t>
  </si>
  <si>
    <t>Hartfiel, Lindsey M.; Hoover, Natasha L.; Hall, Steven J.; Isenhart, Thomas M.; Gomes, Carmen L.; Soupir, Michelle L.</t>
  </si>
  <si>
    <t>Extreme low-flow conditions in a dual-chamber denitrification bioreactor contribute to pollution swapping with low landscape-scale impact</t>
  </si>
  <si>
    <t>Gomes, Carmen/J-5091-2015; Hall, Steven/AFM-6451-2022</t>
  </si>
  <si>
    <t>Soupir, Michelle/0000-0003-3449-1146; Hall, Steven/0000-0002-7841-2019</t>
  </si>
  <si>
    <t>10.1016/j.scitotenv.2023.162837</t>
  </si>
  <si>
    <t>WOS:000959636900001</t>
  </si>
  <si>
    <t>Khalil, MI; Van Cleemput, O; Rosenani, AB; Schmidhalter, U</t>
  </si>
  <si>
    <t>Khalil, M. I.; Van Cleemput, O.; Rosenani, A. B.; Schmidhalter, U.</t>
  </si>
  <si>
    <t>Daytime, temporal, and seasonal variations of N2O emissions in an upland cropping system of the humid tropics</t>
  </si>
  <si>
    <t>Khalil, Mohammad I./I-1995-2014; Schmidhalter, Urs/C-5477-2012</t>
  </si>
  <si>
    <t>Khalil, Mohammad I./0000-0002-0968-2672; Schmidhalter, Urs/0000-0003-4106-7124</t>
  </si>
  <si>
    <t>10.1080/00103620601094122</t>
  </si>
  <si>
    <t>WOS:000244360400014</t>
  </si>
  <si>
    <t>Rui, YC; Ruark, MD; Andraski, TW; Bundy, LG</t>
  </si>
  <si>
    <t>Rui, Yichao; Ruark, Matthew D.; Andraski, Todd W.; Bundy, Larry G.</t>
  </si>
  <si>
    <t>Assessing the Benefit of Polymer-Coated Urea for Corn Production on Irrigated Sandy Soils</t>
  </si>
  <si>
    <t>Ruark, Matthew/0000-0002-8678-6133</t>
  </si>
  <si>
    <t>10.2134/agronj2018.02.0091</t>
  </si>
  <si>
    <t>WOS:000462738100002</t>
  </si>
  <si>
    <t>Ikezawa, H; Nagumo, Y; Hattori, M; Nonaka, M; Ohyama, T; Harada, N</t>
  </si>
  <si>
    <t>Ikezawa, Hiromu; Nagumo, Yoshifumi; Hattori, Makoto; Nonaka, Masanori; Ohyama, Takuji; Harada, Naoki</t>
  </si>
  <si>
    <t>Suppressive effect of the deep placement of lime nitrogen on N2O emissions in a soybean field</t>
  </si>
  <si>
    <t>10.1016/j.scitotenv.2021.150246</t>
  </si>
  <si>
    <t>WOS:000704389800015</t>
  </si>
  <si>
    <t>Mchergui, C; Besaury, L; Langlois, E; Aubert, M; Akpa-Vinceslas, M; Buatois, B; Quillet, L; Bureau, F</t>
  </si>
  <si>
    <t>Mchergui, C.; Besaury, L.; Langlois, E.; Aubert, M.; Akpa-Vinceslas, M.; Buatois, B.; Quillet, L.; Bureau, F.</t>
  </si>
  <si>
    <t>A comparison of permanent and fluctuating flooding on microbial properties in an ex-situ estuarine riparian system</t>
  </si>
  <si>
    <t>Besaury, Ludovic/DEH-2630-2022; Aubert, Michael/C-8724-2012; Langlois, Estelle/B-2904-2014</t>
  </si>
  <si>
    <t>Aubert, Michael/0000-0003-4846-1159; BESAURY, Ludovic/0000-0002-1463-1239; Langlois, Estelle/0000-0003-4902-9691; BUREAU, Fabrice/0000-0002-5501-0949</t>
  </si>
  <si>
    <t>10.1016/j.apsoil.2014.01.012</t>
  </si>
  <si>
    <t>WOS:000335732500001</t>
  </si>
  <si>
    <t>Feiglsconcelos, ALSJ; Cherubin, MR; Cerri, CEP; Feigl, BJ; Reis, AFB; Siqueira-Neto, M</t>
  </si>
  <si>
    <t>Feiglsconcelos, Ana Luisa S. J.; Cherubin, Mauricio R.; Cerri, Carlos E. P.; Feigl, Brigitte J.; Reis, Andre F. Borja; Siqueira-Neto, Marcos</t>
  </si>
  <si>
    <t>Sugarcane residue and N-fertilization effects on soil GHG emissions in south-central, Brazil</t>
  </si>
  <si>
    <t>Cherubin, Mauricio/A-6896-2016; Neto, Marcos/AER-0799-2022; FBR, Andre/IUP-8379-2023; Cerri, Carlos Eduardo/C-5039-2012; Froes de Borja Reis, Andre/B-4590-2019</t>
  </si>
  <si>
    <t>Cerri, Carlos Eduardo/0000-0002-4374-4056; Cherubin, Mauricio Roberto/0000-0001-7920-8362; Siqueira Neto, Marcos/0000-0002-3982-7983; Froes de Borja Reis, Andre/0000-0002-3742-8428</t>
  </si>
  <si>
    <t>10.1016/j.biombioe.2022.106342</t>
  </si>
  <si>
    <t>WOS:000788727500002</t>
  </si>
  <si>
    <t>Andersen, AJ; Petersen, SO</t>
  </si>
  <si>
    <t>Andersen, Astrid J.; Petersen, Soren O.</t>
  </si>
  <si>
    <t>Effects of C and N availability and soil-water potential interactions on N2O evolution and PLFA composition</t>
  </si>
  <si>
    <t>Petersen, Soren/E-9714-2016</t>
  </si>
  <si>
    <t>10.1016/j.soilbio.2009.06.001</t>
  </si>
  <si>
    <t>WOS:000268920400018</t>
  </si>
  <si>
    <t>Sánchez-Carrillo, S; Garatuza-Payan, J; Sánchez-Andrés, R; Cervantes, FJ; Bartolomé, MC; Merino-Ibarra, M; Thalasso, F</t>
  </si>
  <si>
    <t>Sanchez-Carrillo, Salvador; Garatuza-Payan, Jaime; Sanchez-Andres, Raquel; Cervantes, Francisco J.; Carmen Bartolome, Maria; Merino-Ibarra, Martin; Thalasso, Frederic</t>
  </si>
  <si>
    <t>Methane Production and Oxidation in Mangrove Soils Assessed by Stable Isotope Mass Balances</t>
  </si>
  <si>
    <t>WATER</t>
  </si>
  <si>
    <t>Thalasso, Frederic/E-1403-2011; Sanchez-Carrillo, Salvador/L-1098-2014; Merino-Ibarra, Martin/KPY-5742-2024</t>
  </si>
  <si>
    <t>Cervantes, Francisco J./0000-0002-8382-1757; Thalasso, Frederic/0000-0003-2246-2372; Merino-Ibarra, Martin/0000-0002-6690-3101</t>
  </si>
  <si>
    <t>2073-4441</t>
  </si>
  <si>
    <t>10.3390/w13131867</t>
  </si>
  <si>
    <t>WOS:000671244000001</t>
  </si>
  <si>
    <t>Vinzent, B; Fuss, R; Maidl, FX; Hülsbergen, KJ</t>
  </si>
  <si>
    <t>Vinzent, Beat; Fuss, Roland; Maidl, Franz-Xaver; Huelsbergen, Kurt-Juergen</t>
  </si>
  <si>
    <t>N2O emissions and nitrogen dynamics of winter rapeseed fertilized with different N forms and a nitrification inhibitor</t>
  </si>
  <si>
    <t>Fuss, Roland/F-3866-2011</t>
  </si>
  <si>
    <t>Fuss, Roland/0000-0002-0274-0809</t>
  </si>
  <si>
    <t>MAY 1</t>
  </si>
  <si>
    <t>10.1016/j.agee.2018.02.028</t>
  </si>
  <si>
    <t>WOS:000431936200010</t>
  </si>
  <si>
    <t>Hendriks, CMJ; Shrivastava, V; Sigurnjak, I; Lesschen, JP; Meers, E; van Noort, R; Yang, ZC; Rietra, RPJJ</t>
  </si>
  <si>
    <t>Hendriks, Chantal M. J.; Shrivastava, Vaibhav; Sigurnjak, Ivona; Lesschen, Jan Peter; Meers, Erik; van Noort, Rembert; Yang, Zhongchen; Rietra, Rene P. J. J.</t>
  </si>
  <si>
    <t>Replacing Mineral Fertilisers for Bio-Based Fertilisers in Potato Growing on Sandy Soil: A Case Study</t>
  </si>
  <si>
    <t>Rietra, Rene/AGD-5333-2022; meers, Erik/A-2789-2016</t>
  </si>
  <si>
    <t>Shrivastava, Vaibhav/0000-0003-2478-0577; Shrivastava, Vaibhav/0000-0002-7631-6904; Rietra, Rene/0000-0003-1563-3815; Sigurnjak, Ivona/0000-0002-4798-6474; Hendriks, Chantal/0000-0001-6749-7232; meers, Erik/0000-0002-8296-3462; Yang, Zhongchen/0000-0002-7612-1939; Lesschen, Jan Peter/0000-0003-1535-8294</t>
  </si>
  <si>
    <t>10.3390/app12010341</t>
  </si>
  <si>
    <t>WOS:000751151600001</t>
  </si>
  <si>
    <t>Yang, P; Wang, MH; Lai, DYF; Chun, KP; Huang, JF; Wan, SA; Bastviken, D; Tong, C</t>
  </si>
  <si>
    <t>Yang, P.; Wang, M. H.; Lai, Derrick Y. F.; Chun, K. P.; Huang, J. F.; Wan, S. A.; Bastviken, D.; Tong, C.</t>
  </si>
  <si>
    <t>Methane dynamics in an estuarine brackish Cyperus malaccensis marsh: Production and porewater concentration in soils, and net emissions to the atmosphere over five years</t>
  </si>
  <si>
    <t>Wang, Minhuang/AAL-8581-2020; huang, jiafang/KGM-5757-2024; Chun, Kwok/P-5782-2018; Lai, Derrick Y.F./B-1387-2009</t>
  </si>
  <si>
    <t>huang, jiafang/0000-0001-9800-7048; Lai, Derrick Y.F./0000-0002-1225-9904</t>
  </si>
  <si>
    <t>10.1016/j.geoderma.2018.09.019</t>
  </si>
  <si>
    <t>WOS:000456761500014</t>
  </si>
  <si>
    <t>Corton, TM; Bajita, JB; Grospe, FS; Pamplona, RR; Assis, CA; Wassmann, R; Lantin, RS; Buendia, LV</t>
  </si>
  <si>
    <t>Methane emission from irrigated and intensively managed rice fields in Central Luzon (Philippines)</t>
  </si>
  <si>
    <t>Asis, Constancio/L-9569-2015</t>
  </si>
  <si>
    <t>Asis, Constancio/0000-0002-6408-4149</t>
  </si>
  <si>
    <t>10.1023/A:1009826131741</t>
  </si>
  <si>
    <t>WOS:000166362400004</t>
  </si>
  <si>
    <t>Kool, DM; Wrage, N; Oenema, O; Van Kessel, C; Van Groenigen, JW</t>
  </si>
  <si>
    <t>Kool, Dorien M.; Wrage, Nicole; Oenema, Oene; Van Kessel, Chris; Van Groenigen, Jan Willem</t>
  </si>
  <si>
    <t>Oxygen exchange with water alters the oxygen isotopic signature of nitrate in soil ecosystems</t>
  </si>
  <si>
    <t>Oenema, Oene/ABI-5456-2022; Van Groenigen, Jan Willem/H-3037-2012; Wrage-Monnig, Nicole/AAC-7894-2020</t>
  </si>
  <si>
    <t>Van Groenigen, Jan Willem/0000-0001-9637-0601; Wrage-Monnig, Nicole/0000-0002-3319-5655</t>
  </si>
  <si>
    <t>10.1016/j.soilbio.2011.02.006</t>
  </si>
  <si>
    <t>WOS:000290698100009</t>
  </si>
  <si>
    <t>Helton, AM; Ardón, M; Bernhardt, ES</t>
  </si>
  <si>
    <t>Helton, Ashley M.; Ardon, Marcelo; Bernhardt, Emily S.</t>
  </si>
  <si>
    <t>Hydrologic Context Alters Greenhouse Gas Feedbacks of Coastal Wetland Salinization</t>
  </si>
  <si>
    <t>ECOSYSTEMS</t>
  </si>
  <si>
    <t>Ardon, Marcelo/0000-0001-7275-2672; /0000-0003-3031-621X; Helton, Ashley/0000-0001-6928-2104</t>
  </si>
  <si>
    <t>1432-9840</t>
  </si>
  <si>
    <t>1435-0629</t>
  </si>
  <si>
    <t>10.1007/s10021-018-0325-2</t>
  </si>
  <si>
    <t>WOS:000480546800013</t>
  </si>
  <si>
    <t>Conrad, R</t>
  </si>
  <si>
    <t>Soil microorganisms as controllers of atmospheric trace gases (H-2, CO, CH4, OCS, N2O, and NO)</t>
  </si>
  <si>
    <t>MICROBIOLOGICAL REVIEWS</t>
  </si>
  <si>
    <t>0146-0749</t>
  </si>
  <si>
    <t>+</t>
  </si>
  <si>
    <t>10.1128/MMBR.60.4.609-640.1996</t>
  </si>
  <si>
    <t>WOS:A1996VX87800002</t>
  </si>
  <si>
    <t>Ardenti, F; Abalos, D; Capra, F; Lommi, M; Maris, SC; Perego, A; Bertora, C; Tabaglio, V; Fiorini, A</t>
  </si>
  <si>
    <t>Ardenti, Federico; Abalos, Diego; Capra, Federico; Lommi, Michela; Maris, Stefania Codruta; Perego, Alessia; Bertora, Chiara; Tabaglio, Vincenzo; Fiorini, Andrea</t>
  </si>
  <si>
    <t>Matching crop row and dripline distance in subsurface drip irrigation increases yield and mitigates N2O emissions</t>
  </si>
  <si>
    <t>Tabaglio, Vincenzo/C-5989-2008; Fiorini, A/AFK-7870-2022</t>
  </si>
  <si>
    <t>Abalos, Diego/0000-0002-4189-5563; Fiorini, Andrea/0000-0002-5601-2954</t>
  </si>
  <si>
    <t>DEC 1</t>
  </si>
  <si>
    <t>10.1016/j.fcr.2022.108732</t>
  </si>
  <si>
    <t>WOS:000878038900005</t>
  </si>
  <si>
    <t>Huérfano, X; Estavillo, JM; Torralbo, F; Vega-Mas, I; González-Murua, C; Fuertes-Mendizábal, T</t>
  </si>
  <si>
    <t>Huerfano, Ximena; Estavillo, Jose M.; Torralbo, Fernando; Vega-Mas, Izargi; Gonzalez-Murua, Carmen; Fuertes-Mendizabal, Teresa</t>
  </si>
  <si>
    <t>Dimethylpyrazole-based nitrification inhibitors have a dual role in N2O emissions mitigation in forage systems under Atlantic climate conditions</t>
  </si>
  <si>
    <t>Torralbo, Fernando/AAU-1491-2021; Fuertes-Mendizabal, Teresa/JBJ-2207-2023; Huerfano, Ximena/AAY-4250-2021; ESTAVILLO, José-María/P-5711-2019; Gonzalez-Murua, Carmen/J-2968-2012; Fuertes-Mendizabal, Teresa/Y-1498-2018</t>
  </si>
  <si>
    <t>Vega-Mas, Izargi/0000-0002-9794-7078; Torralbo, Fernando/0000-0002-7592-4932; Gonzalez-Murua, Carmen/0000-0003-0310-5804; Fuertes-Mendizabal, Teresa/0000-0003-2307-3424</t>
  </si>
  <si>
    <t>FEB 10</t>
  </si>
  <si>
    <t>10.1016/j.scitotenv.2021.150670</t>
  </si>
  <si>
    <t>WOS:000707663100007</t>
  </si>
  <si>
    <t>King, GM; Hungria, M</t>
  </si>
  <si>
    <t>Soil-atmosphere CO exchanges and microbial biogeochemistry of CO transformations in a Brazilian agricultural ecosystem</t>
  </si>
  <si>
    <t>Hungria, Mariangela/D-8540-2013</t>
  </si>
  <si>
    <t>King, Gary/0000-0001-7325-7710</t>
  </si>
  <si>
    <t>10.1128/AEM.68.9.4480-4485.2002</t>
  </si>
  <si>
    <t>WOS:000177718000042</t>
  </si>
  <si>
    <t>Effects of nitrate, nitrite, NO and N2O on methanogenesis and other redox processes in anoxic rice field soil</t>
  </si>
  <si>
    <t>WOS:000072513200010</t>
  </si>
  <si>
    <t>Mackinawite (FeS) Chemodenitrification of Nitrate (NO3-) under Acidic to Neutral pH Conditions and Its Stable N and O Isotope Dynamics</t>
  </si>
  <si>
    <t>ACS EARTH AND SPACE CHEMISTRY</t>
  </si>
  <si>
    <t>Xiao, Wei/0000-0002-6578-3523; Wells, Naomi/0000-0001-9914-5418; Jones, Adele/0000-0001-6427-0876</t>
  </si>
  <si>
    <t>2472-3452</t>
  </si>
  <si>
    <t>DEC 15</t>
  </si>
  <si>
    <t>10.1021/acsearthspacechem.2c00158</t>
  </si>
  <si>
    <t>WOS:000891159700001</t>
  </si>
  <si>
    <t>Padhy, SR; Bhattacharyya, P; Nayak, SK; Dash, PK; Mohapatra, T</t>
  </si>
  <si>
    <t>Padhy, S. R.; Bhattacharyya, P.; Nayak, S. K.; Dash, P. K.; Mohapatra, T.</t>
  </si>
  <si>
    <t>A unique bacterial and archaeal diversity make mangrove a green production system compared to rice in wetland ecology: A metagenomic approach</t>
  </si>
  <si>
    <t>Dash, Pradeep Kumar/AAV-7303-2021</t>
  </si>
  <si>
    <t>Dash, Pradeep Kumar/0000-0002-2652-6428</t>
  </si>
  <si>
    <t>10.1016/j.scitotenv.2021.146713</t>
  </si>
  <si>
    <t>WOS:000655621000014</t>
  </si>
  <si>
    <t>Warneke, S; Schipper, LA; Bruesewitz, DA; McDonald, I; Cameron, S</t>
  </si>
  <si>
    <t>Warneke, Soeren; Schipper, Louis A.; Bruesewitz, Denise A.; McDonald, Ian; Cameron, Stewart</t>
  </si>
  <si>
    <t>Rates, controls and potential adverse effects of nitrate removal in a denitrification bed</t>
  </si>
  <si>
    <t>Warneke, Soeren/I-3747-2013; McDonald, Ian/A-4851-2008; Schipper, Louis/F-1605-2010</t>
  </si>
  <si>
    <t>McDonald, Ian/0000-0002-4847-6492; Schipper, Louis/0000-0001-9899-1276</t>
  </si>
  <si>
    <t>10.1016/j.ecoleng.2010.12.006</t>
  </si>
  <si>
    <t>WOS:000288043000013</t>
  </si>
  <si>
    <t>Zhou, GW; Yang, XR; Sun, AQ; Li, H; Lassen, SB; Zheng, BX; Zhu, YG</t>
  </si>
  <si>
    <t>Zhou, Guo-Wei; Yang, Xiao-Ru; Sun, An-Qi; Li, Hu; Lassen, Simon Bo; Zheng, Bang-Xiao; Zhu, Yong-Guan</t>
  </si>
  <si>
    <t>Mobile Incubator for Iron(III) Reduction in the Gut of the Soil-Feeding Earthworm Pheretima guillelmi and Interaction with Denitrification</t>
  </si>
  <si>
    <t>Lassen, Simon/O-3921-2019; Yang, Xiao-Ru/AAW-6028-2020; Zhu, Yong-Guan/A-1412-2009; Zheng, Bangxiao/C-4324-2017; Lassen, Simon Bo/I-1826-2017</t>
  </si>
  <si>
    <t>Zhu, Yong-Guan/0000-0003-3861-8482; yang, xiao ru/0000-0001-8064-4639; Zheng, Bangxiao/0000-0003-3036-6495; Lassen, Simon Bo/0000-0002-9781-1939; Zhou, Guowei/0000-0002-4945-1502</t>
  </si>
  <si>
    <t>10.1021/acs.est.8b06187</t>
  </si>
  <si>
    <t>WOS:000465190300021</t>
  </si>
  <si>
    <t>Papen, H; Daum, M; Steinkamp, R; Butterbach-Bahl, K</t>
  </si>
  <si>
    <t>N2O and CH4-fluxes from soils of a N-limited and N-fertilized spruce forest ecosystem of the temperate zone</t>
  </si>
  <si>
    <t>JOURNAL OF APPLIED BOTANY-ANGEWANDTE BOTANIK</t>
  </si>
  <si>
    <t>Butterbach-Bahl, Klaus/A-8081-2013; Papen, Hans/A-8082-2013</t>
  </si>
  <si>
    <t>Butterbach-Bahl, Klaus/0000-0001-9499-6598</t>
  </si>
  <si>
    <t>0949-5460</t>
  </si>
  <si>
    <t>WOS:000171008900013</t>
  </si>
  <si>
    <t>Dowrick, DJ; Freeman, C; Lock, MA; Yusoff, FM</t>
  </si>
  <si>
    <t>Dowrick, D. J.; Freeman, C.; Lock, M. A.; Yusoff, Fatimah Md</t>
  </si>
  <si>
    <t>Using Thermal Sensitivity Analysis to Determine the Impact of Drainage on the Hydrochemistry of a Tropical Peat Soil from Malaysia</t>
  </si>
  <si>
    <t>Yusoff, Fatimah/N-7065-2018</t>
  </si>
  <si>
    <t>Yusoff, Fatimah/0000-0003-4438-9065</t>
  </si>
  <si>
    <t>SEP 25</t>
  </si>
  <si>
    <t>10.1080/00103624.2015.1069318</t>
  </si>
  <si>
    <t>WOS:000361378200006</t>
  </si>
  <si>
    <t>Datta, A; Santra, SC; Adhya, TK</t>
  </si>
  <si>
    <t>Datta, A.; Santra, S. C.; Adhya, T. K.</t>
  </si>
  <si>
    <t>Environmental and economic opportunities of applications of different types and application methods of chemical fertilizer in rice paddy</t>
  </si>
  <si>
    <t>ADHYA, TAPAN/H-4525-2011</t>
  </si>
  <si>
    <t>10.1007/s10705-017-9841-2</t>
  </si>
  <si>
    <t>WOS:000400234100009</t>
  </si>
  <si>
    <t>Zannella, A; Wallin, MB; Sikström, U; Arvidsson, E; Eklöf, K</t>
  </si>
  <si>
    <t>Zannella, Alberto; Wallin, Marcus B.; Sikstrom, Ulf; Arvidsson, Emeli; Eklof, Karin</t>
  </si>
  <si>
    <t>Ditch cleaning in boreal catchments: Impacts on water chemistry and dissolved greenhouse gases in runoff</t>
  </si>
  <si>
    <t>FOREST ECOLOGY AND MANAGEMENT</t>
  </si>
  <si>
    <t>Wallin, Marcus/0000-0002-3082-8728</t>
  </si>
  <si>
    <t>0378-1127</t>
  </si>
  <si>
    <t>1872-7042</t>
  </si>
  <si>
    <t>10.1016/j.foreco.2024.122146</t>
  </si>
  <si>
    <t>WOS:001276287600001</t>
  </si>
  <si>
    <t>Padhi, PP; Bhattacharyya, P; Padhy, SR; Dash, PK; Mishra, V</t>
  </si>
  <si>
    <t>Padhi, P. P.; Bhattacharyya, P.; Padhy, S. R.; Dash, P. K.; Mishra, V.</t>
  </si>
  <si>
    <t>Judicious use of agricultural and industrial waste to rice is a green technology having GHGs mitigation potential</t>
  </si>
  <si>
    <t>INTERNATIONAL JOURNAL OF ENVIRONMENTAL SCIENCE AND TECHNOLOGY</t>
  </si>
  <si>
    <t>Dash, Pradeep/AAV-7303-2021</t>
  </si>
  <si>
    <t>1735-1472</t>
  </si>
  <si>
    <t>1735-2630</t>
  </si>
  <si>
    <t>10.1007/s13762-023-05430-6</t>
  </si>
  <si>
    <t>WOS:001145314100002</t>
  </si>
  <si>
    <t>Yang, G; Kang, JH; Wang, Y; Zhao, X; Wang, SQ</t>
  </si>
  <si>
    <t>Yang, Guang; Kang, Jiahui; Wang, Yu; Zhao, Xu; Wang, Shenqiang</t>
  </si>
  <si>
    <t>Environmental transport of excess nitrogen fertilizer in peach orchard: Evidence arising from 15 N tracing trial</t>
  </si>
  <si>
    <t>Yang, Guang/KVB-9251-2024; Zhao, Xu/I-4527-2019</t>
  </si>
  <si>
    <t>AUG 15</t>
  </si>
  <si>
    <t>10.1016/j.agee.2024.109066</t>
  </si>
  <si>
    <t>WOS:001240600200001</t>
  </si>
  <si>
    <t>Menéndez, S; Merino, R; Pinto, M; González-Murua, C; Estavillo, JM</t>
  </si>
  <si>
    <t>Menendez, S.; Merino, R.; Pinto, M.; Gonzalez-Murua, C.; Estavillo, J. M.</t>
  </si>
  <si>
    <t>Effect of N-(n-butyl) Thiophosphoric Triamide and 3,4 Dimethylpyrazole Phosphate on Gaseous Emissions from Grasslands under Different Soil Water Contents</t>
  </si>
  <si>
    <t>Pinto, Míriam/B-8000-2013; ESTAVILLO, José-María/P-5711-2019; Merino, Pilar/K-4555-2014; Gonzalez-Murua, Carmen/J-2968-2012; Menendez, Sergio/J-9373-2014</t>
  </si>
  <si>
    <t>Merino, Pilar/0000-0002-5242-5479; Bastias, Elizabeth/0009-0006-0675-1181; Gonzalez-Murua, Carmen/0000-0003-0310-5804; Menendez, Sergio/0000-0002-2245-9088; Pinto, Miriam/0000-0002-7398-3306; ESTAVILLO, Jose-Maria/0000-0002-3986-8005</t>
  </si>
  <si>
    <t>10.2134/jeq2008.0034</t>
  </si>
  <si>
    <t>WOS:000262483500005</t>
  </si>
  <si>
    <t>Borden, AK; Brusseau, ML; Carroll, KC; McMillan, A; Akyol, NH; Berkompas, J; Miao, ZH; Jordan, F; Tick, G; Waugh, WJ; Glenn, EP</t>
  </si>
  <si>
    <t>Borden, Andrew K.; Brusseau, Mark L.; Carroll, K. C.; McMillan, Andrew; Akyol, Nihat H.; Berkompas, Justin; Miao, Ziheng; Jordan, Fiona; Tick, Geoff; Waugh, W. Jody; Glenn, Ed P.</t>
  </si>
  <si>
    <t>Ethanol Addition for Enhancing Denitrification at the Uranium Mill Tailing Site in Monument Valley, AZ</t>
  </si>
  <si>
    <t>Akyol, Nihat/AAR-4199-2020; Carroll, Kenneth/H-5160-2011</t>
  </si>
  <si>
    <t>Carroll, Kenneth/0000-0003-2097-9589</t>
  </si>
  <si>
    <t>10.1007/s11270-011-0899-1</t>
  </si>
  <si>
    <t>WOS:000299137000023</t>
  </si>
  <si>
    <t>Castellón, SEM; Cattanio, JH; Berrêdo, JF; Rollnic, M; Ruivo, MD; Noriega, C</t>
  </si>
  <si>
    <t>Martinez Castellon, Saul Edgardo; Cattanio, Jose Henrique; Berredo, Jose Francisco; Rollnic, Marcelo; Ruivo, Maria de Lourdes; Noriega, Carlos</t>
  </si>
  <si>
    <t>Greenhouse gas fluxes in mangrove forest soil in an Amazon estuary</t>
  </si>
  <si>
    <t>Berrêdo, José/GQY-8383-2022; Cattanio, Jose Henrique/B-6176-2015</t>
  </si>
  <si>
    <t>Cattanio, Jose Henrique/0000-0001-8335-9593</t>
  </si>
  <si>
    <t>DEC 6</t>
  </si>
  <si>
    <t>10.5194/bg-19-5483-2022</t>
  </si>
  <si>
    <t>WOS:000894502100001</t>
  </si>
  <si>
    <t>Petersen, SO; Hoffmann, CC; Schäfer, CM; Blicher-Mathiesen, G; Elsgaard, L; Kristensen, K; Larsen, SE; Torp, SB; Greve, MH</t>
  </si>
  <si>
    <t>Petersen, S. O.; Hoffmann, C. C.; Schafer, C. -M.; Blicher-Mathiesen, G.; Elsgaard, L.; Kristensen, K.; Larsen, S. E.; Torp, S. B.; Greve, M. H.</t>
  </si>
  <si>
    <t>Annual emissions of CH4 and N2O, and ecosystem respiration, from eight organic soils in Western Denmark managed by agriculture</t>
  </si>
  <si>
    <t>Petersen, Soren/E-9714-2016; Hoffmann, Carl/B-6714-2011; Elsgaard, Lars/A-7698-2013; Larsen, Soren E./J-6754-2013</t>
  </si>
  <si>
    <t>Larsen, Soren Erik/0000-0001-8428-2065; Elsgaard, Lars/0000-0003-0058-7609; Larsen, Soren E./0000-0003-4570-9489</t>
  </si>
  <si>
    <t>10.5194/bg-9-403-2012</t>
  </si>
  <si>
    <t>WOS:000300229000028</t>
  </si>
  <si>
    <t>Ramborun, V; Facknath, S; Lalljee, B</t>
  </si>
  <si>
    <t>Ramborun, Vagish; Facknath, Sunita; Lalljee, Bhanooduth</t>
  </si>
  <si>
    <t>Indigenous/traditional climate-smart practices effects on soil fertility and maize yield in Mauritius agricultural system</t>
  </si>
  <si>
    <t>JOURNAL OF AGRICULTURE AND FOOD RESEARCH</t>
  </si>
  <si>
    <t>2666-1543</t>
  </si>
  <si>
    <t>10.1016/j.jafr.2020.100096</t>
  </si>
  <si>
    <t>WOS:000696062500005</t>
  </si>
  <si>
    <t>Nayak, D; Saetnan, E; Cheng, K; Wang, W; Koslowski, F; Cheng, YF; Zhu, WY; Wang, JK; Liu, JX; Moran, D; Yan, XY; Cardenas, L; Newbold, J; Pan, GX; Lui, YL; Smith, P</t>
  </si>
  <si>
    <t>Nayak, Dali; Saetnan, Eli; Cheng, Kun; Wang, Wen; Koslowski, Frank; Cheng, Yan-Fen; Zhu, Wei Yun; Wang, Jia-Kun; Liu, Jian-Xin; Moran, Dominic; Yan, Xiaoyuan; Cardenas, Laura; Newbold, Jamie; Pan, Genxing; Lui, Yuelai; Smith, Pete</t>
  </si>
  <si>
    <t>Management opportunities to mitigate greenhouse gas emissions from Chinese agriculture</t>
  </si>
  <si>
    <t>Cheng, Yanfen/GOK-2098-2022; Pan, Genxing/AAH-8501-2019; Cardenas, Laura/HHC-2953-2022; yan, xiao yuan/M-9840-2016; Cheng, Kun/N-3558-2016; Smith, Pete/G-1041-2010</t>
  </si>
  <si>
    <t>yan, xiao yuan/0000-0001-8645-4836; Cheng, Kun/0000-0002-6101-0558; Smith, Pete/0000-0002-3784-1124; Nayak, Dali Rani/0000-0003-0653-0662; Saetnan, Eli/0000-0003-4209-161X; Newbold, Charles james/0000-0001-9561-300X</t>
  </si>
  <si>
    <t>10.1016/j.agee.2015.04.035</t>
  </si>
  <si>
    <t>WOS:000358463000011</t>
  </si>
  <si>
    <t>Li, SY; Bush, RT; Ward, NJ; Sullivan, LA; Dong, FY</t>
  </si>
  <si>
    <t>Li, Siyue; Bush, Richard T.; Ward, Nicholas J.; Sullivan, Leigh A.; Dong, Fangyong</t>
  </si>
  <si>
    <t>Air-water CO2 outgassing in the Lower Lakes (Alexandrina and Albert, Australia) following a millennium drought</t>
  </si>
  <si>
    <t>Ward, Nicholas/AAV-3518-2020; Bush, Richard/G-3018-2011; Li, Siyue/E-8297-2012</t>
  </si>
  <si>
    <t>Li, Siyue/0000-0002-3097-6819; Ward, Nicholas/0000-0003-1862-5685</t>
  </si>
  <si>
    <t>A</t>
  </si>
  <si>
    <t>10.1016/j.scitotenv.2015.10.070</t>
  </si>
  <si>
    <t>WOS:000365602100047</t>
  </si>
  <si>
    <t>Maris, SC; Teira-Esmatges, MR; Bosch-Serra, AD; Moreno-García, B; Català, MM</t>
  </si>
  <si>
    <t>Maris, S. C.; Teira-Esmatges, M. R.; Bosch-Serra, A. D.; Moreno-Garcia, B.; Catala, M. M.</t>
  </si>
  <si>
    <t>Effect of fertilising with pig slurry and chicken manure on GHG emissions from Mediterranean paddies</t>
  </si>
  <si>
    <t>Moreno-García, Beatriz/L-7291-2019; Bosch Serra, Angela D/KBB-0831-2024; Teira-Esmatges, M. Rosa/AGH-3480-2022; Catala-Forner, Mar/M-5091-2018</t>
  </si>
  <si>
    <t>maris, stefania/0000-0003-4720-4986; Moreno-Garcia, Beatriz/0000-0003-3918-8103; Catala-Forner, Mar/0000-0002-1026-7097</t>
  </si>
  <si>
    <t>10.1016/j.scitotenv.2016.06.040</t>
  </si>
  <si>
    <t>WOS:000382269000033</t>
  </si>
  <si>
    <t>Dhakal, P; Matocha, CJ; Huggins, FE; Vandiviere, MM</t>
  </si>
  <si>
    <t>Dhakal, P.; Matocha, C. J.; Huggins, F. E.; Vandiviere, M. M.</t>
  </si>
  <si>
    <t>Nitrite Reactivity with Magnetite</t>
  </si>
  <si>
    <t>Huggins, Frank/A-8861-2009</t>
  </si>
  <si>
    <t>JUN 18</t>
  </si>
  <si>
    <t>10.1021/es304011w</t>
  </si>
  <si>
    <t>WOS:000320749000018</t>
  </si>
  <si>
    <t>Gonzaga, LC; Carvalho, JLN; de Oliveira, BG; Soares, JR; Cantarella, H</t>
  </si>
  <si>
    <t>Gonzaga, Leandro Carolino; Nunes Carvalho, Joao Luis; de Oliveira, Bruna Gonsalves; Soares, Johnny Rodrigues; Cantarella, Heitor</t>
  </si>
  <si>
    <t>Crop residue removal and nitrification inhibitor application as strategies to mitigate N2O emissions in sugarcane fields</t>
  </si>
  <si>
    <t>Soares, Johnny/AAE-9637-2021; Cantarella, Heitor/B-1699-2018; Carvalho, João/AAD-5370-2020; Oliveira, Bruna/IUO-1393-2023; Gonzaga, Leandro/S-1977-2018; Soares, Johnny/C-2122-2014</t>
  </si>
  <si>
    <t>Oliveira, Bruna/0000-0003-2368-4129; Soares, Johnny/0000-0002-5281-9128; Cantarella, Heitor/0000-0002-1894-3029</t>
  </si>
  <si>
    <t>10.1016/j.biombioe.2018.09.015</t>
  </si>
  <si>
    <t>WOS:000449265800024</t>
  </si>
  <si>
    <t>Otwell, AE; Carr, AV; Majumder, ELW; Ruiz, MK; Wilpiszeski, RL; Hoang, LT; Webb, B; Turkarslan, S; Gibbons, SM; Elias, DA; Stahl, DA; Siuzdak, G; Baliga, NS</t>
  </si>
  <si>
    <t>Otwell, Anne E.; Carr, Alex V.; Majumder, Erica L. W.; Ruiz, Maryann K.; Wilpiszeski, Regina L.; Hoang, Linh T.; Webb, Bill; Turkarslan, Serdar; Gibbons, Sean M.; Elias, Dwayne A.; Stahl, David A.; Siuzdak, Gary; Baliga, Nitin S.</t>
  </si>
  <si>
    <t>Sulfur Metabolites Play Key System-Level Roles in Modulating Denitrification</t>
  </si>
  <si>
    <t>Gibbons, Sean/ABH-2562-2020; Majumder, Erica/AAQ-6804-2021; Elias, Dwayne/GZL-8202-2022; Elias, Dwayne/B-5190-2011</t>
  </si>
  <si>
    <t>Majumder, Erica/0000-0003-3444-3881; Elias, Dwayne/0000-0002-4469-6391; Gibbons, Sean/0000-0002-8724-7916</t>
  </si>
  <si>
    <t>e01025-20</t>
  </si>
  <si>
    <t>10.1128/mSystems.01025-20</t>
  </si>
  <si>
    <t>WOS:000647691000028</t>
  </si>
  <si>
    <t>Irigoyena, I; Muro, J; Azpilikueta, M; Aparicio-Tejo, P; Lamsfus, C</t>
  </si>
  <si>
    <t>Ammonium oxidation kinetics in the presence of nitrification inhibitors DCD and DMPP at various temperatures</t>
  </si>
  <si>
    <t>AUSTRALIAN JOURNAL OF SOIL RESEARCH</t>
  </si>
  <si>
    <t>Aparicio-Tejo, Pedro M/E-9062-2011; irigoyen, ignacio/G-6961-2015</t>
  </si>
  <si>
    <t>Aparicio-Tejo, Pedro M/0000-0002-7342-6999; irigoyen, ignacio/0000-0003-1381-7936</t>
  </si>
  <si>
    <t>0004-9573</t>
  </si>
  <si>
    <t>10.1071/SR02144</t>
  </si>
  <si>
    <t>WOS:000185979500012</t>
  </si>
  <si>
    <t>Zhang, LX; Gao, XZ; Li, YM; Li, GX; Luo, WH; Xu, ZC</t>
  </si>
  <si>
    <t>Zhang, Lanxia; Gao, Xingzu; Li, Yanming; Li, Guoxue; Luo, Wenhai; Xu, Zhicheng</t>
  </si>
  <si>
    <t>Optimization of free air space to regulate bacterial succession and functions for alleviating gaseous emissions during kitchen waste composting</t>
  </si>
  <si>
    <t>BIORESOURCE TECHNOLOGY</t>
  </si>
  <si>
    <t>Xu, Zhicheng/AAQ-8120-2021</t>
  </si>
  <si>
    <t>0960-8524</t>
  </si>
  <si>
    <t>1873-2976</t>
  </si>
  <si>
    <t>10.1016/j.biortech.2023.129682</t>
  </si>
  <si>
    <t>WOS:001063377000001</t>
  </si>
  <si>
    <t>Dong, XY; Fu, JS; Huang, K; Tong, D; Zhuang, GS</t>
  </si>
  <si>
    <t>Dong, Xinyi; Fu, Joshua S.; Huang, Kan; Tong, Daniel; Zhuang, Guoshun</t>
  </si>
  <si>
    <t>Model development of dust emission and heterogeneous chemistry within the Community Multiscale Air Quality modeling system and its application over East Asia</t>
  </si>
  <si>
    <t>ATMOSPHERIC CHEMISTRY AND PHYSICS</t>
  </si>
  <si>
    <t>dong, xinyi/T-4784-2019; Fu, Joshua/F-9303-2011; Huang, Kan/E-4824-2011; Tong, Daniel/A-8255-2008</t>
  </si>
  <si>
    <t>Fu, Joshua/0000-0001-5464-9225; Tong, Daniel/0000-0002-4255-4568</t>
  </si>
  <si>
    <t>1680-7316</t>
  </si>
  <si>
    <t>1680-7324</t>
  </si>
  <si>
    <t>10.5194/acp-16-8157-2016</t>
  </si>
  <si>
    <t>WOS:000381091400007</t>
  </si>
  <si>
    <t>Li, CS; Salas, W; DeAngelo, B; Rose, S</t>
  </si>
  <si>
    <t>Li, Changsheng; Salas, William; DeAngelo, Benjamin; Rose, Steven</t>
  </si>
  <si>
    <t>Assessing alternatives for mitigating net greenhouse gas emissions and increasing yields from rice production in china over the next twenty years</t>
  </si>
  <si>
    <t>3rd USDA Symposium on Greenhouse Gases and Carbon Sequestration in Agriculture and Forestry</t>
  </si>
  <si>
    <t>MAR 21-24, 2005</t>
  </si>
  <si>
    <t>Baltimore, MD</t>
  </si>
  <si>
    <t>USDA</t>
  </si>
  <si>
    <t>Li, Changsheng/G-9890-2015</t>
  </si>
  <si>
    <t>10.2134/jeq2005.0208</t>
  </si>
  <si>
    <t>WOS:000239189900063</t>
  </si>
  <si>
    <t>Meena, HM; Sachdev, MS; Manjaiah, KM; Dotaniya, ML</t>
  </si>
  <si>
    <t>Meena, H. M.; Sachdev, M. S.; Manjaiah, K. M.; Dotaniya, M. L.</t>
  </si>
  <si>
    <t>Nitrification Inhibition Potential of Brachiaria humidicola</t>
  </si>
  <si>
    <t>NATIONAL ACADEMY SCIENCE LETTERS-INDIA</t>
  </si>
  <si>
    <t>Dotaniya, M./I-3328-2019</t>
  </si>
  <si>
    <t>Dotaniya, M L/0000-0001-9311-088X</t>
  </si>
  <si>
    <t>0250-541X</t>
  </si>
  <si>
    <t>2250-1754</t>
  </si>
  <si>
    <t>10.1007/s40009-013-0216-1</t>
  </si>
  <si>
    <t>WOS:000334522700003</t>
  </si>
  <si>
    <t>Ninin, JML; Mori, AH; Pausch, J; Planer-Friedrich, B</t>
  </si>
  <si>
    <t>Ninin, Jose M. Leon; Mori, Alejandra Higa; Pausch, Johanna; Planer-Friedrich, Britta</t>
  </si>
  <si>
    <t>Long-term paddy use influences response of methane production, arsenic mobility and speciation to future higher temperatures</t>
  </si>
  <si>
    <t>Pausch, Johanna/ABC-5266-2020; Planer-Friedrich, Britta/J-1548-2012</t>
  </si>
  <si>
    <t>10.1016/j.scitotenv.2024.173793</t>
  </si>
  <si>
    <t>JUN 2024</t>
  </si>
  <si>
    <t>WOS:001253329900001</t>
  </si>
  <si>
    <t>Jurado, A; Borges, AV; Pujades, E; Hakoun, V; Otten, J; Knöller, K; Brouyère, S</t>
  </si>
  <si>
    <t>Jurado, Anna; Borges, Alberto V.; Pujades, Estanislao; Hakoun, Vivien; Otten, Joel; Knoeller, Kay; Brouyere, Serge</t>
  </si>
  <si>
    <t>Occurrence of greenhouse gases in the aquifers of the Walloon Region (Belgium)</t>
  </si>
  <si>
    <t>Borges, Alberto/C-4989-2008; BROUYERE, Serge/LSM-2372-2024; Jurado, Anna/AAL-3880-2021; Hakoun, Vivien/H-6262-2013; Pujades, Estanislao/A-5013-2016</t>
  </si>
  <si>
    <t>Hakoun, Vivien/0000-0002-8727-7162; Borges, Alberto V./0000-0002-5434-2247; Jurado, Anna/0000-0003-1683-7908; Pujades, Estanislao/0000-0002-2604-5376; Brouyere, Serge/0000-0003-1687-1102</t>
  </si>
  <si>
    <t>10.1016/j.scitotenv.2017.10.144</t>
  </si>
  <si>
    <t>WOS:000424144200156</t>
  </si>
  <si>
    <t>ALEEM, MIH</t>
  </si>
  <si>
    <t>BIOCHEMICAL REACTION-MECHANISMS IN SULFUR OXIDATION BY CHEMOSYNTHETIC BACTERIA</t>
  </si>
  <si>
    <t>10.1007/BF01928521</t>
  </si>
  <si>
    <t>WOS:A1975BB78800006</t>
  </si>
  <si>
    <t>Yevenes, MA; Lagos, NA; Farías, L; Vargas, CA</t>
  </si>
  <si>
    <t>Yevenes, Mariela A.; Lagos, Nelson A.; Farias, Laura; Vargas, Cristian A.</t>
  </si>
  <si>
    <t>Greenhouse gases, nutrients and the carbonate system in the Reloncavi Fjord (Northern Chilean Patagonia): Implications on aquaculture of the mussel, Mytilus chilensis, during an episodic volcanic eruption</t>
  </si>
  <si>
    <t>Yevenes, Mariela/0000-0001-7726-1776; Vargas, Cristian A./0000-0002-1486-3611</t>
  </si>
  <si>
    <t>10.1016/j.scitotenv.2019.03.037</t>
  </si>
  <si>
    <t>WOS:000463663500006</t>
  </si>
  <si>
    <t>Babu, YJ; Li, C; Frolking, S; Nayak, DR; Datta, A; Adhya, TK</t>
  </si>
  <si>
    <t>Modelling of methane emissions from rice-based production systems in India with the denitrification and decomposition model: Field validation and sensitivity analysis</t>
  </si>
  <si>
    <t>ADHYA, TAPAN/H-4525-2011; Frolking, Steve/ABF-9046-2021</t>
  </si>
  <si>
    <t>Nayak, Dali Rani/0000-0003-0653-0662</t>
  </si>
  <si>
    <t>DEC 10</t>
  </si>
  <si>
    <t>WOS:000234089000026</t>
  </si>
  <si>
    <t>Wang, HT; Ma, ST; Shao, GD; Dittert, K</t>
  </si>
  <si>
    <t>Wang, Haitao; Ma, Shutan; Shao, Guodong; Dittert, Klaus</t>
  </si>
  <si>
    <t>Use of urease and nitrification inhibitors to decrease yield-scaled N2O emissions from winter wheat and oilseed rape fields: A two-year field experiment</t>
  </si>
  <si>
    <t>Dittert, Klaus/AAA-8824-2019; SHUTAN, MA/AAA-8519-2022; Wang, Haitao/B-3586-2019</t>
  </si>
  <si>
    <t>Dittert, Klaus/0000-0003-4062-067X; Shao, Guodong/0000-0001-7122-1319; Wang, Haitao/0000-0003-4056-329X</t>
  </si>
  <si>
    <t>10.1016/j.agee.2021.107552</t>
  </si>
  <si>
    <t>WOS:000681697600004</t>
  </si>
  <si>
    <t>Larese-Casanova, P; Scherer, MM</t>
  </si>
  <si>
    <t>Larese-Casanova, Philip; Scherer, Michelle M.</t>
  </si>
  <si>
    <t>Abiotic transformation of hexahydro-1,3,5-trinitro-1,3,5-triazine (RDX) by green rusts</t>
  </si>
  <si>
    <t>Scherer, Michelle/P-2406-2017</t>
  </si>
  <si>
    <t>Scherer, Michelle/0000-0001-5733-3920</t>
  </si>
  <si>
    <t>10.1021/es702390b</t>
  </si>
  <si>
    <t>WOS:000256274300016</t>
  </si>
  <si>
    <t>Oo, AZ; Nguyen, L; Win, KT; Cadisch, G; Bellingrath-Kimura, SD</t>
  </si>
  <si>
    <t>Oo, Aung Zaw; Lam Nguyen; Win, Khin Thuzar; Cadisch, Georg; Bellingrath-Kimura, Sonoko Dorothea</t>
  </si>
  <si>
    <t>Toposequential variation in methane emissions from double-cropping paddy rice in Northwest Vietnam</t>
  </si>
  <si>
    <t>; Lam, Nguyen/HNI-3694-2023</t>
  </si>
  <si>
    <t>Oo, Aung Zaw/0000-0002-0571-0613; Lam, Nguyen/0000-0003-4524-3877; Win, Khin Thuzar/0000-0002-4834-078X; Bellingrath-Kimura, Sonoko Dorothea/0000-0001-7392-7796</t>
  </si>
  <si>
    <t>10.1016/j.geoderma.2013.05.025</t>
  </si>
  <si>
    <t>WOS:000324014400005</t>
  </si>
  <si>
    <t>Yuan, JJ; Ding, WX; Liu, DY; Kang, H; Freeman, C; Xiang, J; Lin, YX</t>
  </si>
  <si>
    <t>Yuan, Junji; Ding, Weixin; Liu, Deyan; Kang, Hojeong; Freeman, Chris; Xiang, Jian; Lin, Yongxin</t>
  </si>
  <si>
    <t>Exotic Spartina alterniflora invasion alters ecosystem-atmosphere exchange of CH4 and N2O and carbon sequestration in a coastal salt marsh in China</t>
  </si>
  <si>
    <t>Kang, Hojeong/C-7208-2011; xiang, jian/S-1630-2019; Deyan, Liu/AAZ-2671-2020; Lin, Yongxin/ACQ-6177-2022</t>
  </si>
  <si>
    <t>XIANG, Jian/0000-0002-8869-6203; Yongxin, Lin/0000-0002-0305-5766; Kang, Hojeong/0000-0002-2088-6406; Yuan, Junji/0000-0002-8339-699X</t>
  </si>
  <si>
    <t>10.1111/gcb.12797</t>
  </si>
  <si>
    <t>WOS:000351214100019</t>
  </si>
  <si>
    <t>Shen, L; Wu, LD; Wei, W; Yang, Y; MacLeod, MJ; Lin, JT; Song, GD; Yuan, JJ; Yang, P; Wu, L; Li, MW; Zhuang, MH</t>
  </si>
  <si>
    <t>Shen, Lu; Wu, Lidong; Wei, Wei; Yang, Yi; MacLeod, Michael J.; Lin, Jintai; Song, Guodong; Yuan, Junji; Yang, Ping; Wu, Lin; Li, Mingwei; Zhuang, Minghao</t>
  </si>
  <si>
    <t>Marine aquaculture can deliver 40% lower carbon footprints than freshwater aquaculture based on feed, energy and biogeochemical cycles</t>
  </si>
  <si>
    <t>NATURE FOOD</t>
  </si>
  <si>
    <t>MacLeod, Matthew/D-5919-2013; Lin, Jintai/A-8872-2012; Yang, Yi/AAM-9280-2021; Li, Mingwei/Z-5407-2019; Shen, Lulu/AAO-1137-2020</t>
  </si>
  <si>
    <t>Yang, Yi/0000-0002-0600-602X; Yuan, Junji/0000-0002-8339-699X; macleod, michael/0000-0003-2444-6886; Shen, Lu/0000-0003-2787-7016; wu, lidong/0000-0002-6397-6516; Lin, Jintai/0000-0002-2362-2940</t>
  </si>
  <si>
    <t>2662-1355</t>
  </si>
  <si>
    <t>10.1038/s43016-024-01004-y</t>
  </si>
  <si>
    <t>WOS:001252347900002</t>
  </si>
  <si>
    <t>Xu, ZC; Ma, Y; Zhang, LX; Han, YY; Yuan, J; Li, GX; Luo, WH</t>
  </si>
  <si>
    <t>Xu, Zhicheng; Ma, Yu; Zhang, Lanxia; Han, Yiyu; Yuan, Jing; Li, Guoxue; Luo, Wenhai</t>
  </si>
  <si>
    <t>Relating bacterial dynamics and functions to gaseous emissions during composting of kitchen and garden wastes</t>
  </si>
  <si>
    <t>Luo, Wenhai/0000-0003-2572-1480; Xu, Zhicheng/0000-0001-9801-8580; li, guoxue/0000-0002-7371-398X</t>
  </si>
  <si>
    <t>10.1016/j.scitotenv.2020.144210</t>
  </si>
  <si>
    <t>WOS:000617681100004</t>
  </si>
  <si>
    <t>Ryant, P; Antosovsky, J; Skarpa, P; Richter, R</t>
  </si>
  <si>
    <t>Vanek, V; Balik, J; Tlustos, P</t>
  </si>
  <si>
    <t>Ryant, Pavel; Antosovsky, Jiri; Skarpa, Petr; Richter, Rostislav</t>
  </si>
  <si>
    <t>Practical Results with Slow-Acting Fertilizers with Nitrification Inhibitors</t>
  </si>
  <si>
    <t>SBORNIK Z 26. MEZINARODNI KONFERENCE RACIONALNI POUZITI HNOJIV: ZAMERENE NA NOVE TRENDY VE VYVOJI A APLIKACI HNOJIV</t>
  </si>
  <si>
    <t>26th International Conference on Reasonable Use of Fertilizers</t>
  </si>
  <si>
    <t>DEC 03, 2020</t>
  </si>
  <si>
    <t>Czech Univ Life Sci Prague, Prague, CZECH REPUBLIC</t>
  </si>
  <si>
    <t>Czech Univ Life Sci Prague, Dept Agro Environm Chem &amp; Plant Nutr,AGROFERT,LOVOCHEMIE</t>
  </si>
  <si>
    <t>Czech Univ Life Sci Prague</t>
  </si>
  <si>
    <t>Škarpa, Petr/K-7785-2018; Antosovsky, Jiri/K-8219-2018; Ryant, Pavel/I-9294-2018</t>
  </si>
  <si>
    <t>Antosovsky, Jiri/0000-0002-4263-7371; Ryant, Pavel/0000-0002-4975-7405</t>
  </si>
  <si>
    <t>978-80-213-3054-2</t>
  </si>
  <si>
    <t>WOS:000661271100005</t>
  </si>
  <si>
    <t>Horn, MA; Ihssen, J; Matthies, C; Schramm, A; Acker, G; Drake, HL</t>
  </si>
  <si>
    <t>Dechloromonas denitrificans sp nov., Flavobacterium denitrificans sp nov., Paenibacillus anaericanus sp. nov and Paenibacillus terrae strain MH72, N2O-producing bacteria isolated from the gut of the earthworm Aporrectodea caliginosa</t>
  </si>
  <si>
    <t>INTERNATIONAL JOURNAL OF SYSTEMATIC AND EVOLUTIONARY MICROBIOLOGY</t>
  </si>
  <si>
    <t>Schramm, Andreas/J-2655-2013; Horn, Marcus A./E-3726-2013</t>
  </si>
  <si>
    <t>Schramm, Andreas/0000-0002-7614-9616; Horn, Marcus A./0000-0001-8510-9651</t>
  </si>
  <si>
    <t>1466-5026</t>
  </si>
  <si>
    <t>1466-5034</t>
  </si>
  <si>
    <t>10.1099/ijs.0.63484-0</t>
  </si>
  <si>
    <t>WOS:000229362700043</t>
  </si>
  <si>
    <t>Guardia, G; Monistrol-Arcas, A; Montoya, M; García-Gutiérrez, S; Abalos, D; Vallejo, A</t>
  </si>
  <si>
    <t>Guardia, Guillermo; Monistrol-Arcas, Alba; Montoya, Monica; Garcia-Gutierrez, Sandra; Abalos, Diego; Vallejo, Antonio</t>
  </si>
  <si>
    <t>Subsurface drip irrigation reduces CH4 emissions and ecosystem respiration compared to surface drip irrigation</t>
  </si>
  <si>
    <t>García-Gutiérrez, Sandra/HGC-5115-2022; Montoya, Mónica/ABA-7105-2020; Guardia, Guillermo/I-8226-2018; VALLEJO, ANTONIO/K-6823-2014</t>
  </si>
  <si>
    <t>Monistrol, Alba/0009-0003-1295-3386; Abalos, Diego/0000-0002-4189-5563; VALLEJO, ANTONIO/0000-0003-0311-7450; Garcia Gutierrez, Sandra/0000-0002-4739-9341; MONTOYA NOVILLO, MONICA/0000-0003-2051-911X</t>
  </si>
  <si>
    <t>10.1016/j.agwat.2023.108380</t>
  </si>
  <si>
    <t>WOS:001012034900001</t>
  </si>
  <si>
    <t>Fanizza, C; De Berardis, B; Ietto, F; Soggiu, ME; Schirò, R; Inglessis, M; Ferdinandi, M; Incoronato, F</t>
  </si>
  <si>
    <t>Fanizza, Carla; De Berardis, Barbara; Ietto, Federica; Soggiu, Maria Eleonora; Schiro, Roberto; Inglessis, Marco; Ferdinandi, Marcello; Incoronato, Federica</t>
  </si>
  <si>
    <t>Analysis of major pollutants and physico-chemical characteristics of PM2.5 at an urban site in Rome</t>
  </si>
  <si>
    <t>Incoronato, Federica/HNI-3671-2023; fanizza, carla/K-5238-2018; DE BERARDIS, BARBARA/F-2105-2015</t>
  </si>
  <si>
    <t>De Berardis, Barbara/0000-0001-7857-9620</t>
  </si>
  <si>
    <t>10.1016/j.scitotenv.2017.10.168</t>
  </si>
  <si>
    <t>WOS:000424121800146</t>
  </si>
  <si>
    <t>Perreault, NN; Crocker, FH; Indest, KJ; Hawari, J</t>
  </si>
  <si>
    <t>Perreault, Nancy N.; Crocker, Fiona H.; Indest, Karl J.; Hawari, Jalal</t>
  </si>
  <si>
    <t>Involvement of cytochrome c CymA in the anaerobic metabolism of RDX by Shewanella oneidensis MR-1</t>
  </si>
  <si>
    <t>1480-3275</t>
  </si>
  <si>
    <t>10.1139/W11-116</t>
  </si>
  <si>
    <t>WOS:000299791500002</t>
  </si>
  <si>
    <t>Weston, NB; Neubauer, SC; Velinsky, DJ; Vile, MA</t>
  </si>
  <si>
    <t>Weston, Nathaniel B.; Neubauer, Scott C.; Velinsky, David J.; Vile, Melanie A.</t>
  </si>
  <si>
    <t>Net ecosystem carbon exchange and the greenhouse gas balance of tidal marshes along an estuarine salinity gradient</t>
  </si>
  <si>
    <t>Vile, Melanie/AAZ-1865-2020; Neubauer, Scott/A-3443-2011; Weston, Nathaniel/A-6545-2009</t>
  </si>
  <si>
    <t>Neubauer, Scott/0000-0001-8948-2832; Weston, Nathaniel/0000-0002-6837-360X</t>
  </si>
  <si>
    <t>10.1007/s10533-014-9989-7</t>
  </si>
  <si>
    <t>WOS:000339871700011</t>
  </si>
  <si>
    <t>Alongi, DM; Pfitzner, J; Trott, LA; Tirendi, F; Dixon, P; Klumpp, DW</t>
  </si>
  <si>
    <t>Rapid sediment accumulation and microbial mineralization in forests of the mangrove Kandelia candel in the Jiulongjiang Estuary, China</t>
  </si>
  <si>
    <t>10.1016/j.ecss.2005.01.004</t>
  </si>
  <si>
    <t>WOS:000229809900012</t>
  </si>
  <si>
    <t>Wang, W; Lai, DYF; Wang, C; Tong, C; Zeng, C</t>
  </si>
  <si>
    <t>Wang, W.; Lai, D. Y. F.; Wang, C.; Tong, C.; Zeng, C.</t>
  </si>
  <si>
    <t>Effects of inorganic amendments, rice cultivars and cultivation methods on greenhouse gas emissions and rice productivity in a subtropical paddy field</t>
  </si>
  <si>
    <t>Wang, weiqi/AAN-8209-2020; Zeng, Cong/J-4933-2014; Lai, Derrick Y.F./B-1387-2009</t>
  </si>
  <si>
    <t>Zeng, Cong/0000-0003-1003-9382; wang, weiqi/0000-0001-8503-0978; Lai, Derrick Y.F./0000-0002-1225-9904</t>
  </si>
  <si>
    <t>10.1016/j.ecoleng.2016.07.014</t>
  </si>
  <si>
    <t>WOS:000385371400089</t>
  </si>
  <si>
    <t>Marinho, CC; Campos, EA; Guimaraes, JRD; Esteves, FA</t>
  </si>
  <si>
    <t>Marinho, C. C.; Campos, E. A.; Guimaraes, J. R. D.; Esteves, F. A.</t>
  </si>
  <si>
    <t>Effect of sediment composition on methane concentration and production in the transition zone of a mangrove (Sepetiba Bay, Rio de Janeiro, Brazil)</t>
  </si>
  <si>
    <t>BRAZILIAN JOURNAL OF BIOLOGY</t>
  </si>
  <si>
    <t>Guimaraes, Jean/B-6451-2013; Marinho, Carolina/B-1867-2013</t>
  </si>
  <si>
    <t>1519-6984</t>
  </si>
  <si>
    <t>1678-4375</t>
  </si>
  <si>
    <t>10.1590/S1519-69842012000300003</t>
  </si>
  <si>
    <t>WOS:000308954700003</t>
  </si>
  <si>
    <t>Aelion, CM; Warttinger, U</t>
  </si>
  <si>
    <t>Aelion, C. M.; Warttinger, U.</t>
  </si>
  <si>
    <t>Low sulfide concentrations affect nitrate transformations in freshwater and saline coastal retention pond sediments</t>
  </si>
  <si>
    <t>Aelion, C. Marjorie/AGG-7859-2022</t>
  </si>
  <si>
    <t>10.1016/j.soilbio.2009.01.015</t>
  </si>
  <si>
    <t>WOS:000265325300010</t>
  </si>
  <si>
    <t>Sriphirom, P; Chidthaisong, A; Yagi, K; Boonapatcharoen, N; Tripetchkul, S; Towprayoon, S</t>
  </si>
  <si>
    <t>Sriphirom, Patikorn; Chidthaisong, Amnat; Yagi, Kazuyuki; Boonapatcharoen, Nimaradee; Tripetchkul, Sudarut; Towprayoon, Sirintornthep</t>
  </si>
  <si>
    <t>Effects of Biochar Particle Size on Methane Emissions from Rice Cultivation</t>
  </si>
  <si>
    <t>JOURNAL OF RENEWABLE MATERIALS</t>
  </si>
  <si>
    <t>2164-6325</t>
  </si>
  <si>
    <t>2164-6341</t>
  </si>
  <si>
    <t>10.32604/jrm.2020.010826</t>
  </si>
  <si>
    <t>WOS:000564519200002</t>
  </si>
  <si>
    <t>Olsson, L; Ye, S; Yu, X; Wei, M; Krauss, KW; Brix, H</t>
  </si>
  <si>
    <t>Olsson, L.; Ye, S.; Yu, X.; Wei, M.; Krauss, K. W.; Brix, H.</t>
  </si>
  <si>
    <t>Factors influencing CO2 and CH4 emissions from coastal wetlands in the Liaohe Delta, Northeast China</t>
  </si>
  <si>
    <t>Brix, Hans/AAN-5367-2020; Brix, Hans/C-5208-2008</t>
  </si>
  <si>
    <t>Brix, Hans/0000-0003-2771-2983</t>
  </si>
  <si>
    <t>10.5194/bg-12-4965-2015</t>
  </si>
  <si>
    <t>WOS:000360294800007</t>
  </si>
  <si>
    <t>Gatland, JR; Santos, IR; Maher, DT; Duncan, TM; Erler, DV</t>
  </si>
  <si>
    <t>Gatland, J. R.; Santos, I. R.; Maher, D. T.; Duncan, T. M.; Erler, D. V.</t>
  </si>
  <si>
    <t>Carbon dioxide and methane emissions from an artificially drained coastal wetland during a flood: Implications for wetland global warming potential</t>
  </si>
  <si>
    <t>JOURNAL OF GEOPHYSICAL RESEARCH-BIOGEOSCIENCES</t>
  </si>
  <si>
    <t>Erler, Dirk/I-7209-2012; Maher, Damien/E-3443-2012; Santos, Isaac/A-3960-2019</t>
  </si>
  <si>
    <t>Erler, Dirk/0000-0003-1242-7311; Maher, Damien/0000-0003-1899-005X; Santos, Isaac/0000-0003-0524-842X</t>
  </si>
  <si>
    <t>2169-8953</t>
  </si>
  <si>
    <t>2169-8961</t>
  </si>
  <si>
    <t>10.1002/2013JG002544</t>
  </si>
  <si>
    <t>WOS:000342993200014</t>
  </si>
  <si>
    <t>Pönisch, DL; Breznikar, A; Gutekunst, CN; Jurasinski, G; Voss, M; Rehder, G</t>
  </si>
  <si>
    <t>Poenisch, Daniel L.; Breznikar, Anne; Gutekunst, Cordula N.; Jurasinski, Gerald; Voss, Maren; Rehder, Gregor</t>
  </si>
  <si>
    <t>Nutrient release and flux dynamics of CO2, CH4, and N2O in a coastal peatland driven by actively induced rewetting with brackish water from the Baltic Sea</t>
  </si>
  <si>
    <t>Jurasinski, Gerald/AAH-6376-2021</t>
  </si>
  <si>
    <t>Rehder, Gregor/0000-0002-0597-9989; Breznikar, Anne/0000-0002-2207-9536; Voss, Maren/0000-0002-5827-9062; Ponisch, Daniel Lars/0000-0002-8544-8167; Jurasinski, Gerald/0000-0002-6248-9388</t>
  </si>
  <si>
    <t>JAN 19</t>
  </si>
  <si>
    <t>10.5194/bg-20-295-2023</t>
  </si>
  <si>
    <t>WOS:000922050400001</t>
  </si>
  <si>
    <t>Bonetti, G; Trevathan-Tackett, SM; Hebert, N; Carnell, PE; Macreadie, PI</t>
  </si>
  <si>
    <t>Bonetti, Giuditta; Trevathan-Tackett, Stacey M.; Hebert, Nicolas; Carnell, Paul E.; Macreadie, Peter I.</t>
  </si>
  <si>
    <t>Microbial community dynamics behind major release of methane in constructed wetlands</t>
  </si>
  <si>
    <t>Trevathan-Tackett, Stacey/X-9178-2019</t>
  </si>
  <si>
    <t>Trevathan-Tackett, Stacey/0000-0002-4977-0757; Macreadie, Peter/0000-0001-7362-0882</t>
  </si>
  <si>
    <t>10.1016/j.apsoil.2021.104163</t>
  </si>
  <si>
    <t>WOS:000691502100006</t>
  </si>
  <si>
    <t>Li, RF; Xi, BD; Wang, XW; Li, YJ; Yuan, Y; Tan, WB</t>
  </si>
  <si>
    <t>Li, Renfei; Xi, Beidou; Wang, Xiaowei; Li, Yanjiao; Yuan, Ying; Tan, Wenbing</t>
  </si>
  <si>
    <t>Anaerobic oxidation of methane in landfill and adjacent groundwater environments: Occurrence, mechanisms, and potential applications</t>
  </si>
  <si>
    <t>WATER RESEARCH</t>
  </si>
  <si>
    <t>Wang, Xiaowei/JRY-6619-2023; Tan, Wenbin/AAM-4661-2020; li, yanjiao/HGA-4591-2022; Xi, Beidou/KEE-8922-2024</t>
  </si>
  <si>
    <t>Tan, Wenbing/0000-0001-9896-7604</t>
  </si>
  <si>
    <t>0043-1354</t>
  </si>
  <si>
    <t>1879-2448</t>
  </si>
  <si>
    <t>MAY 15</t>
  </si>
  <si>
    <t>10.1016/j.watres.2024.121498</t>
  </si>
  <si>
    <t>MAR 2024</t>
  </si>
  <si>
    <t>WOS:001218624200001</t>
  </si>
  <si>
    <t>Kumar, G; Ramanathan, AL</t>
  </si>
  <si>
    <t>Kumar, Goutam; Ramanathan, A. L.</t>
  </si>
  <si>
    <t>Biogeochemistry of methane emission in mangrove ecosystem - Review</t>
  </si>
  <si>
    <t>INDIAN JOURNAL OF GEO-MARINE SCIENCES</t>
  </si>
  <si>
    <t>AL, Ramanathan/E-7217-2012</t>
  </si>
  <si>
    <t>AL, Ramanathan/0000-0002-3491-2273</t>
  </si>
  <si>
    <t>0379-5136</t>
  </si>
  <si>
    <t>0975-1033</t>
  </si>
  <si>
    <t>WOS:000349813100011</t>
  </si>
  <si>
    <t>Köhn, D; Welpelo, C; Günther, A; Jurasinski, G</t>
  </si>
  <si>
    <t>Koehn, Daniel; Welpelo, Carla; Guenther, Anke; Jurasinski, Gerald</t>
  </si>
  <si>
    <t>Drainage Ditches Contribute Considerably to the CH4 Budget of a Drained and a Rewetted Temperate Fen</t>
  </si>
  <si>
    <t>Jurasinski, Gerald/AAH-6376-2021; Guenther, Anke/LMN-0345-2024</t>
  </si>
  <si>
    <t>Gunther, Anke/0000-0003-4419-1892; Kohn, Daniel/0000-0001-5435-8831</t>
  </si>
  <si>
    <t>10.1007/s13157-021-01465-y</t>
  </si>
  <si>
    <t>WOS:000691579000003</t>
  </si>
  <si>
    <t>Hartfiel, LM; Schaefer, A; Howe, AC; Soupir, ML</t>
  </si>
  <si>
    <t>Hartfiel, Lindsey M.; Schaefer, Abby; Howe, Adina C.; Soupir, Michelle L.</t>
  </si>
  <si>
    <t>Denitrifying bioreactor microbiome: Understanding pollution swapping and potential for improved performance</t>
  </si>
  <si>
    <t>Schaefer, Abby/0000-0001-9506-8865; Howe, Adina/0000-0002-7705-343X; Hartfiel, Lindsey/0000-0002-1083-3888; Soupir, Michelle/0000-0003-3449-1146</t>
  </si>
  <si>
    <t>10.1002/jeq2.20302</t>
  </si>
  <si>
    <t>NOV 2021</t>
  </si>
  <si>
    <t>WOS:000722215100001</t>
  </si>
  <si>
    <t>Xu, SP; Jaffé, PR; Mauzerall, DL</t>
  </si>
  <si>
    <t>Xu, Shanyping; Jaffe, Peter R.; Mauzerall, Denise L.</t>
  </si>
  <si>
    <t>A process-based model for methane emission from flooded rice paddy systems</t>
  </si>
  <si>
    <t>ECOLOGICAL MODELLING</t>
  </si>
  <si>
    <t>; Mauzerall, Denise/I-5977-2013</t>
  </si>
  <si>
    <t>Jaffe, Peter/0000-0002-8531-8549; Mauzerall, Denise/0000-0003-3479-1798</t>
  </si>
  <si>
    <t>0304-3800</t>
  </si>
  <si>
    <t>JUL 24</t>
  </si>
  <si>
    <t>10.1016/j.ecolmodel.2007.03.014</t>
  </si>
  <si>
    <t>WOS:000247378200017</t>
  </si>
  <si>
    <t>Fuchs, A; Davidson, IC; Megonigal, JP; Devaney, JL; Simkanin, C; Noyce, GL; Lu, M; Cott, GM</t>
  </si>
  <si>
    <t>Fuchs, Andrea; Davidson, Ian C.; Megonigal, J. Patrick; Devaney, John L.; Simkanin, Christina; Noyce, Genevieve L.; Lu, Meng; Cott, Grace M.</t>
  </si>
  <si>
    <t>Stronger increase of methane emissions from coastal wetlands by non-native Spartina alterniflora than non-native Phragmites australis</t>
  </si>
  <si>
    <t>PLANTS PEOPLE PLANET</t>
  </si>
  <si>
    <t>Noyce, Genevieve/0000-0003-0423-6478; Megonigal, Patrick/0000-0002-2018-7883; Simkanin, Christina/0000-0003-3091-9109; Fuchs, Andrea/0000-0002-7204-6142; Lu, Meng/0000-0001-6923-7493</t>
  </si>
  <si>
    <t>2572-2611</t>
  </si>
  <si>
    <t>10.1002/ppp3.10578</t>
  </si>
  <si>
    <t>OCT 2024</t>
  </si>
  <si>
    <t>WOS:001334204700001</t>
  </si>
  <si>
    <t>Cai, ZC; Tsuruta, H; Minami, K</t>
  </si>
  <si>
    <t>Methane emission from rice fields in China: Measurements and influencing factors</t>
  </si>
  <si>
    <t>JOURNAL OF GEOPHYSICAL RESEARCH-ATMOSPHERES</t>
  </si>
  <si>
    <t>2169-897X</t>
  </si>
  <si>
    <t>2169-8996</t>
  </si>
  <si>
    <t>JUL 16</t>
  </si>
  <si>
    <t>D13</t>
  </si>
  <si>
    <t>10.1029/2000JD900014</t>
  </si>
  <si>
    <t>WOS:000088236400001</t>
  </si>
  <si>
    <t>Hu, J; Vardanyan, LG; Villapando, O; Bhomia, R; Inglett, PW; Li, XF; Feng, G; Reddy, KR</t>
  </si>
  <si>
    <t>Hu, Jing; Vardanyan, Lilit G.; Villapando, Odi; Bhomia, Rupesh; Inglett, Patrick W.; Li, Xiaofei; Feng, Gary; Reddy, K. Ramesh</t>
  </si>
  <si>
    <t>Seasonal and spatial patterns of surface water quality in large-scale treatment wetlands with different vegetation communities</t>
  </si>
  <si>
    <t>Bhomia, Rupesh/E-5816-2012; Li, Xiaofei/JGE-3393-2023</t>
  </si>
  <si>
    <t>Hu, Jing/0000-0001-5742-0688; Inglett, Patrick/0000-0003-3166-9068; Li, Xiaofei/0000-0001-5781-4687</t>
  </si>
  <si>
    <t>10.1016/j.ecoleng.2023.107125</t>
  </si>
  <si>
    <t>WOS:001096609400001</t>
  </si>
  <si>
    <t>Datta, A; Yeluripati, JB; Nayak, DR; Mahata, KR; Santra, SC; Adhya, TK</t>
  </si>
  <si>
    <t>Datta, A.; Yeluripati, Jagadeesh B.; Nayak, D. R.; Mahata, K. R.; Santra, S. C.; Adhya, T. K.</t>
  </si>
  <si>
    <t>Seasonal variation of methane flux from coastal saline rice field with the application of different organic manures</t>
  </si>
  <si>
    <t>ADHYA, TAPAN/H-4525-2011; Yeluripati, Jagadeesh/AAF-3283-2020</t>
  </si>
  <si>
    <t>Nayak, Dali Rani/0000-0003-0653-0662; Santra, S.C./0000-0003-2241-7803; Yeluripati, Jagadeesh/0000-0003-3107-2595</t>
  </si>
  <si>
    <t>10.1016/j.atmosenv.2012.06.008</t>
  </si>
  <si>
    <t>WOS:000314016200014</t>
  </si>
  <si>
    <t>Monistrol, A; Vallejo, A; García-Gutiérrez, S; Hermoso-Peralo, R; Montoya, M; Atencia-Payares, LK; Aguilera, E; Guardia, G</t>
  </si>
  <si>
    <t>Monistrol, Alba; Vallejo, Antonio; Garcia-Gutierrez, Sandra; Hermoso-Peralo, Roberto; Montoya, Monica; Atencia-Payares, Luz K.; Aguilera, Eduardo; Guardia, Guillermo</t>
  </si>
  <si>
    <t>Interaction between burial depth and N source in drip-fertigated maize: Agronomic performance and correlation with spectral indices</t>
  </si>
  <si>
    <t>Vallejo García, Antonio/K-6823-2014; Montoya, Mónica/ABA-7105-2020; Aguilera, Eduardo/H-4864-2015; García-Gutiérrez, Sandra/HGC-5115-2022; Guardia, Guillermo/I-8226-2018</t>
  </si>
  <si>
    <t>MONTOYA NOVILLO, MONICA/0000-0003-2051-911X; Garcia Gutierrez, Sandra/0000-0002-4739-9341; Monistrol, Alba/0009-0003-1295-3386</t>
  </si>
  <si>
    <t>10.1016/j.agwat.2024.108951</t>
  </si>
  <si>
    <t>WOS:001273793400001</t>
  </si>
  <si>
    <t>Linquist, BA; Marcos, M; Adviento-Borbe, MA; Anders, M; Harrell, D; Linscombe, S; Reba, ML; Runkle, BRK; Tarpley, L; Thomson, A</t>
  </si>
  <si>
    <t>Linquist, Bruce A.; Marcos, Mathias; Adviento-Borbe, M. Arlene; Anders, Merle; Harrell, Dustin; Linscombe, Steve; Reba, Michele L.; Runkle, Benjamin R. K.; Tarpley, Lee; Thomson, Allison</t>
  </si>
  <si>
    <t>Greenhouse Gas Emissions and Management Practices that Affect Emissions in US Rice Systems</t>
  </si>
  <si>
    <t>Runkle, B./AAC-3404-2020; Thomson, Allison/GRO-3207-2022</t>
  </si>
  <si>
    <t>Thomson, Allison/0000-0001-5326-1755; Runkle, Benjamin Reade Kreps/0000-0002-2583-1199</t>
  </si>
  <si>
    <t>10.2134/jeq2017.11.0445</t>
  </si>
  <si>
    <t>WOS:000445080100001</t>
  </si>
  <si>
    <t>Liechty, Z; Santos-Medellín, C; Edwards, J; Nguyen, B; Mikhail, D; Eason, S; Phillips, G; Sundaresan, V</t>
  </si>
  <si>
    <t>Liechty, Zachary; Santos-Medellin, Christian; Edwards, Joseph; Nguyen, Bao; Mikhail, David; Eason, Shane; Phillips, Gregory; Sundaresan, Venkatesan</t>
  </si>
  <si>
    <t>Comparative Analysis of Root Microbiomes of Rice Cultivars with High and Low Methane Emissions Reveals Differences in Abundance of Methanogenic Archaea and Putative Upstream Fermenters</t>
  </si>
  <si>
    <t>Santos-Medellin, Christian/0000-0002-2708-4537; Sundaresan, Venkatesan/0000-0002-4670-0630</t>
  </si>
  <si>
    <t>e00897-19</t>
  </si>
  <si>
    <t>10.1128/mSystems.00897-19</t>
  </si>
  <si>
    <t>WOS:000518855000025</t>
  </si>
  <si>
    <t>Sun, WG; Sun, ZG; Mou, XJ; Sun, WL</t>
  </si>
  <si>
    <t>Sun, Wenguang; Sun, Zhigao; Mou, Xiaojie; Sun, Wanlong</t>
  </si>
  <si>
    <t>Short-Term Study on Variations of Carbon Dioxide and Methane Emissions from Intertidal Zone of the Yellow River Estuary during Autumn and Winter</t>
  </si>
  <si>
    <t>Sun, Wanlong/ABC-5556-2021; Sun, WenGuang/B-4086-2013</t>
  </si>
  <si>
    <t>10.1007/s13157-018-1035-4</t>
  </si>
  <si>
    <t>WOS:000443995000015</t>
  </si>
  <si>
    <t>Linto, N; Barnes, J; Ramachandran, R; Divia, J; Ramachandran, P; Upstill-Goddard, RC</t>
  </si>
  <si>
    <t>Linto, Neetha; Barnes, J.; Ramachandran, Ramesh; Divia, Jennifer; Ramachandran, Purvaja; Upstill-Goddard, R. C.</t>
  </si>
  <si>
    <t>Carbon Dioxide and Methane Emissions from Mangrove-Associated Waters of the Andaman Islands, Bay of Bengal</t>
  </si>
  <si>
    <t>ESTUARIES AND COASTS</t>
  </si>
  <si>
    <t>Ramachandran, Ramesh/B-4814-2018; Ramachandran, Purvaja/K-5522-2018</t>
  </si>
  <si>
    <t>Ramachandran, Purvaja/0000-0001-7937-3763; Upstill-Goddard, Robert/0000-0003-3396-284X; Ramachandran, Ramesh/0000-0003-2471-7746</t>
  </si>
  <si>
    <t>1559-2723</t>
  </si>
  <si>
    <t>1559-2731</t>
  </si>
  <si>
    <t>10.1007/s12237-013-9674-4</t>
  </si>
  <si>
    <t>WOS:000334170400010</t>
  </si>
  <si>
    <t>Koebsch, F; Glatzel, S; Jurasinski, G</t>
  </si>
  <si>
    <t>Koebsch, Franziska; Glatzel, Stephan; Jurasinski, Gerald</t>
  </si>
  <si>
    <t>Vegetation controls methane emissions in a coastal brackish fen</t>
  </si>
  <si>
    <t>WETLANDS ECOLOGY AND MANAGEMENT</t>
  </si>
  <si>
    <t>Jurasinski, Gerald/AAH-6376-2021; Glatzel, Stephan/AAE-8189-2019</t>
  </si>
  <si>
    <t>Glatzel, Stephan/0000-0002-2572-5484; Jurasinski, Gerald/0000-0002-6248-9388</t>
  </si>
  <si>
    <t>0923-4861</t>
  </si>
  <si>
    <t>1572-9834</t>
  </si>
  <si>
    <t>10.1007/s11273-013-9304-8</t>
  </si>
  <si>
    <t>WOS:000325011100003</t>
  </si>
  <si>
    <t>Kaushal, SS; Gold, AJ; Bernal, S; Johnson, TAN; Addy, K; Burgin, A; Burns, DA; Coble, AA; Hood, E; Lu, YH; Mayer, P; Minor, EC; Schroth, AW; Vidon, P; Wilson, H; Xenopoulos, MA; Doody, T; Galella, JG; Goodling, P; Haviland, K; Haq, S; Wessel, B; Wood, KL; Jaworski, N; Belt, KT</t>
  </si>
  <si>
    <t>Kaushal, Sujay S.; Gold, Arthur J.; Bernal, Susana; Johnson, Tammy A. Newcomer; Addy, Kelly; Burgin, Amy; Burns, Douglas A.; Coble, Ashley A.; Hood, Eran; Lu, YueHan; Mayer, Paul; Minor, Elizabeth C.; Schroth, Andrew W.; Vidon, Philippe; Wilson, Henry; Xenopoulos, Marguerite A.; Doody, Thomas; Galella, Joseph G.; Goodling, Phillip; Haviland, Katherine; Haq, Shahan; Wessel, Barret; Wood, Kelsey L.; Jaworski, Norbert; Belt, Kenneth T.</t>
  </si>
  <si>
    <t>Watershed chemical cocktails': forming novel elemental combinations in Anthropocene fresh waters</t>
  </si>
  <si>
    <t>Kaushal, Sujay/G-1062-2013; Burgin, Amy/ABI-2572-2020; Belt, Kenneth/AAI-6630-2020; Wessel, Barret/HJI-2719-2023; Bernal, Susana/K-5069-2014; Burgin, Amy/G-7444-2014; Newcomer-Johnson, Tammy/AFT-5923-2022</t>
  </si>
  <si>
    <t>Coble, Ashley/0000-0002-5821-5026; Doody, Thomas/0000-0002-2102-738X; Bernal, Susana/0000-0002-6726-8840; Burgin, Amy/0000-0001-8489-4002; Wessel, Barret/0000-0001-6264-5734; Newcomer-Johnson, Tammy/0000-0002-2496-7641; Belt, Kenneth/0000-0002-4067-1541; Lu, Yuehan/0000-0002-0536-532X; Haq, Shahan/0000-0003-0263-3760</t>
  </si>
  <si>
    <t>10.1007/s10533-018-0502-6</t>
  </si>
  <si>
    <t>WOS:000451259700002</t>
  </si>
  <si>
    <t>Koch, S; Jurasinski, G; Koebsch, F; Koch, M; Glatzel, S</t>
  </si>
  <si>
    <t>Koch, Stefan; Jurasinski, Gerald; Koebsch, Franziska; Koch, Marian; Glatzel, Stephan</t>
  </si>
  <si>
    <t>Spatial Variability of Annual Estimates of Methane Emissions in a Phragmites Australis (Cav.) Trin. ex Steud. Dominated Restored Coastal Brackish Fen</t>
  </si>
  <si>
    <t>Glatzel, Stephan/AAE-8189-2019; Jurasinski, Gerald/AAH-6376-2021</t>
  </si>
  <si>
    <t>Jurasinski, Gerald/0000-0002-6248-9388; Glatzel, Stephan/0000-0002-2572-5484</t>
  </si>
  <si>
    <t>10.1007/s13157-014-0528-z</t>
  </si>
  <si>
    <t>WOS:000336288800018</t>
  </si>
  <si>
    <t>Hao, XY; Larney, FJ; Chang, C; Travis, GR; Nichol, CK; Bremer, E</t>
  </si>
  <si>
    <t>The effect of phosphogypsum on greenhouse gas emissions during cattle manure composting</t>
  </si>
  <si>
    <t>Li, Xiangtao/A-4804-2019; Larney, Francis/GYV-4152-2022</t>
  </si>
  <si>
    <t>Larney, Francis/0000-0002-4427-2097; Hao, Xiying/0000-0001-6410-9652</t>
  </si>
  <si>
    <t>10.2134/jeq2004.0388</t>
  </si>
  <si>
    <t>WOS:000229265000003</t>
  </si>
  <si>
    <t>Hammer, TJ; Fierer, N; Hardwick, B; Simojoki, A; Slade, E; Taponen, J; Viljanen, H; Roslin, T</t>
  </si>
  <si>
    <t>Hammer, Tobin J.; Fierer, Noah; Hardwick, Bess; Simojoki, Asko; Slade, Eleanor; Taponen, Juhani; Viljanen, Heidi; Roslin, Tomas</t>
  </si>
  <si>
    <t>Treating cattle with antibiotics affects greenhouse gas emissions, and microbiota in dung and dung beetles</t>
  </si>
  <si>
    <t>PROCEEDINGS OF THE ROYAL SOCIETY B-BIOLOGICAL SCIENCES</t>
  </si>
  <si>
    <t>Fierer, Noah/ACC-1354-2022; Simojoki, Asko/Y-8194-2019; Roslin, Tomas/E-8648-2016; Slade, Eleanor/O-3874-2014</t>
  </si>
  <si>
    <t>Roslin, Tomas/0000-0002-2957-4791; Hardwick, Bess/0000-0001-5195-6115; Hammer, Tobin/0000-0002-7308-8440; Slade, Eleanor/0000-0002-6108-1196; Simojoki, Asko/0000-0003-2397-3553</t>
  </si>
  <si>
    <t>0962-8452</t>
  </si>
  <si>
    <t>1471-2954</t>
  </si>
  <si>
    <t>10.1098/rspb.2016.0150</t>
  </si>
  <si>
    <t>WOS:000378318300003</t>
  </si>
  <si>
    <t>Wang, FF; Song, AG; Zhang, Y; Lin, XB; Yan, RF; Wang, Y; Chen, NW</t>
  </si>
  <si>
    <t>Wang, Fenfang; Song, Ange; Zhang, Yuan; Lin, Xianbiao; Yan, Ruifeng; Wang, Yao; Chen, Nengwang</t>
  </si>
  <si>
    <t>Saltmarsh sediments with wastewater input emit more carbon greenhouse gases but less N2O than mangrove sediments</t>
  </si>
  <si>
    <t>CATENA</t>
  </si>
  <si>
    <t>闫, 瑞峰/HKN-7643-2023</t>
  </si>
  <si>
    <t>Yan, Ruifeng/0009-0003-6630-6432</t>
  </si>
  <si>
    <t>0341-8162</t>
  </si>
  <si>
    <t>1872-6887</t>
  </si>
  <si>
    <t>10.1016/j.catena.2022.106205</t>
  </si>
  <si>
    <t>WOS:000821279600003</t>
  </si>
  <si>
    <t>S</t>
  </si>
  <si>
    <t>Sparks, DL</t>
  </si>
  <si>
    <t>Conrad, Ralf</t>
  </si>
  <si>
    <t>Microbial ecology of methanogens and methanotrophs</t>
  </si>
  <si>
    <t>ADVANCES IN AGRONOMY, VOL 96</t>
  </si>
  <si>
    <t>Advances in Agronomy</t>
  </si>
  <si>
    <t>0065-2113</t>
  </si>
  <si>
    <t>978-0-12-374206-3</t>
  </si>
  <si>
    <t>10.1016/S0065-2113(07)96005-8</t>
  </si>
  <si>
    <t>WOS:000250918000001</t>
  </si>
  <si>
    <t>Records Screened</t>
    <phoneticPr fontId="3" type="noConversion"/>
  </si>
  <si>
    <t>Reports Excluded</t>
  </si>
  <si>
    <t>No agriculture</t>
    <phoneticPr fontId="3" type="noConversion"/>
  </si>
  <si>
    <t>Ineligible (No upland soil)</t>
    <phoneticPr fontId="3" type="noConversion"/>
  </si>
  <si>
    <t>Study used ammonium sulfate</t>
    <phoneticPr fontId="3" type="noConversion"/>
  </si>
  <si>
    <t>Study has no sulfate treatment</t>
    <phoneticPr fontId="3" type="noConversion"/>
  </si>
  <si>
    <t>No upland soil</t>
    <phoneticPr fontId="3" type="noConversion"/>
  </si>
  <si>
    <t>No griculture</t>
  </si>
  <si>
    <t>Ineligible (Study used ammonium sulfate)</t>
    <phoneticPr fontId="3" type="noConversion"/>
  </si>
  <si>
    <t>Study has no nitrous oxide emissions</t>
    <phoneticPr fontId="3" type="noConversion"/>
  </si>
  <si>
    <t>Ineligible (Study has no crop)</t>
    <phoneticPr fontId="3" type="noConversion"/>
  </si>
  <si>
    <t>Ineligible (Ammonium sulfate and urea were applied together in a plot)</t>
    <phoneticPr fontId="3" type="noConversion"/>
  </si>
  <si>
    <t>No arable soil</t>
    <phoneticPr fontId="3" type="noConversion"/>
  </si>
  <si>
    <t>Ineligible (Study does not include individual emission data from field experiments)</t>
    <phoneticPr fontId="3" type="noConversion"/>
  </si>
  <si>
    <t>Ineligible (laboratory incubation study)</t>
    <phoneticPr fontId="3" type="noConversion"/>
  </si>
  <si>
    <t>Ineligible (Study does not include a treatment with sulfate alone)</t>
    <phoneticPr fontId="3" type="noConversion"/>
  </si>
  <si>
    <t>Ineligible (Study has no sulfate treatment)</t>
    <phoneticPr fontId="3" type="noConversion"/>
  </si>
  <si>
    <t>Ineligible (Study has no nitrous oxide emissions)</t>
    <phoneticPr fontId="3" type="noConversion"/>
  </si>
  <si>
    <r>
      <t>Study used ammonium </t>
    </r>
    <r>
      <rPr>
        <sz val="10"/>
        <rFont val="Arial"/>
        <family val="2"/>
      </rPr>
      <t>sulfate</t>
    </r>
    <r>
      <rPr>
        <sz val="10"/>
        <color indexed="8"/>
        <rFont val="Arial"/>
        <family val="2"/>
      </rPr>
      <t> nitrate</t>
    </r>
    <phoneticPr fontId="3" type="noConversion"/>
  </si>
  <si>
    <t>Modelling</t>
    <phoneticPr fontId="3" type="noConversion"/>
  </si>
  <si>
    <t>Ineligible (Study used ammonium sulfate nitrate)</t>
    <phoneticPr fontId="3" type="noConversion"/>
  </si>
  <si>
    <t>No upland soil</t>
  </si>
  <si>
    <t>Study has no nitrous oxide emissions</t>
  </si>
  <si>
    <t>literature review</t>
    <phoneticPr fontId="3" type="noConversion"/>
  </si>
  <si>
    <t>Ineligible (No soil experiment)</t>
    <phoneticPr fontId="3" type="noConversion"/>
  </si>
  <si>
    <t>Wheat-Maize</t>
    <phoneticPr fontId="2" type="noConversion"/>
  </si>
  <si>
    <t>Reason 1</t>
    <phoneticPr fontId="2" type="noConversion"/>
  </si>
  <si>
    <t>Reason 2</t>
  </si>
  <si>
    <t>Reason 3</t>
  </si>
  <si>
    <t>Reason 4</t>
  </si>
  <si>
    <t>Reason 5</t>
  </si>
  <si>
    <t>Reason 6</t>
  </si>
  <si>
    <t>Reason 7</t>
  </si>
  <si>
    <t>Reason 8</t>
  </si>
  <si>
    <t>Reason 9</t>
  </si>
  <si>
    <t>Reason 10</t>
  </si>
  <si>
    <t>13(standard error)</t>
    <phoneticPr fontId="2" type="noConversion"/>
  </si>
  <si>
    <t>2.72(standard error)</t>
    <phoneticPr fontId="2" type="noConversion"/>
  </si>
  <si>
    <t>5.53(standard error)</t>
    <phoneticPr fontId="2" type="noConversion"/>
  </si>
  <si>
    <t>1.47(standard error)</t>
    <phoneticPr fontId="2" type="noConversion"/>
  </si>
  <si>
    <t>0.38(standard error)</t>
    <phoneticPr fontId="2" type="noConversion"/>
  </si>
  <si>
    <t>0.03(standard error)</t>
    <phoneticPr fontId="2" type="noConversion"/>
  </si>
  <si>
    <t>0.09(standard error)</t>
    <phoneticPr fontId="2" type="noConversion"/>
  </si>
  <si>
    <t>0.06(standard error)</t>
    <phoneticPr fontId="2" type="noConversion"/>
  </si>
  <si>
    <t>0.1(standard error)</t>
    <phoneticPr fontId="2" type="noConversion"/>
  </si>
  <si>
    <t>0.24(standard error)</t>
    <phoneticPr fontId="2" type="noConversion"/>
  </si>
  <si>
    <t>0.22(standard error)</t>
    <phoneticPr fontId="2" type="noConversion"/>
  </si>
  <si>
    <t>N uptake</t>
    <phoneticPr fontId="2" type="noConversion"/>
  </si>
  <si>
    <t>3.9g/plant</t>
    <phoneticPr fontId="2" type="noConversion"/>
  </si>
  <si>
    <t>56.3%(N recovery rate)</t>
    <phoneticPr fontId="2" type="noConversion"/>
  </si>
  <si>
    <t>93.61±13.15 kg/ha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</si>
</sst>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28" x14ac:knownFonts="1">
    <font>
      <sz val="11"/>
      <color theme="1"/>
      <name val="맑은 고딕"/>
      <family val="2"/>
      <charset val="129"/>
      <scheme val="minor"/>
    </font>
    <font>
      <b/>
      <sz val="11"/>
      <name val="맑은 고딕"/>
      <family val="3"/>
      <charset val="129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b/>
      <vertAlign val="subscript"/>
      <sz val="11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sz val="11"/>
      <name val="맑은 고딕"/>
      <family val="3"/>
      <charset val="129"/>
    </font>
    <font>
      <vertAlign val="superscript"/>
      <sz val="11"/>
      <name val="맑은 고딕"/>
      <family val="3"/>
      <charset val="129"/>
    </font>
    <font>
      <sz val="11"/>
      <color rgb="FF9C5700"/>
      <name val="맑은 고딕"/>
      <family val="3"/>
      <charset val="129"/>
    </font>
    <font>
      <sz val="11"/>
      <color rgb="FFFFC000"/>
      <name val="맑은 고딕"/>
      <family val="3"/>
      <charset val="129"/>
    </font>
    <font>
      <b/>
      <vertAlign val="superscript"/>
      <sz val="11"/>
      <name val="맑은 고딕"/>
      <family val="3"/>
      <charset val="129"/>
    </font>
    <font>
      <vertAlign val="subscript"/>
      <sz val="11"/>
      <name val="맑은 고딕"/>
      <family val="3"/>
      <charset val="129"/>
    </font>
    <font>
      <sz val="11"/>
      <color theme="1"/>
      <name val="Calibri"/>
      <family val="2"/>
      <charset val="161"/>
    </font>
    <font>
      <sz val="11"/>
      <color theme="1"/>
      <name val="Calibri"/>
      <family val="2"/>
    </font>
    <font>
      <vertAlign val="superscript"/>
      <sz val="11"/>
      <color theme="1"/>
      <name val="Calibri"/>
      <family val="2"/>
      <charset val="161"/>
    </font>
    <font>
      <sz val="11"/>
      <color theme="1"/>
      <name val="맑은 고딕"/>
      <family val="2"/>
      <charset val="161"/>
      <scheme val="minor"/>
    </font>
    <font>
      <sz val="11"/>
      <color theme="1"/>
      <name val="맑은 고딕"/>
      <family val="3"/>
      <charset val="129"/>
      <scheme val="minor"/>
    </font>
    <font>
      <sz val="10"/>
      <color rgb="FF1F1F1F"/>
      <name val="Arial"/>
      <family val="2"/>
    </font>
    <font>
      <b/>
      <vertAlign val="subscript"/>
      <sz val="11"/>
      <color rgb="FF000000"/>
      <name val="맑은 고딕"/>
      <family val="3"/>
      <charset val="129"/>
    </font>
    <font>
      <b/>
      <vertAlign val="superscript"/>
      <sz val="11"/>
      <color rgb="FF000000"/>
      <name val="맑은 고딕"/>
      <family val="3"/>
      <charset val="129"/>
    </font>
    <font>
      <sz val="11"/>
      <color theme="1"/>
      <name val="맑은 고딕"/>
      <family val="3"/>
      <charset val="129"/>
    </font>
    <font>
      <sz val="11"/>
      <name val="맑은 고딕"/>
      <family val="3"/>
      <charset val="129"/>
      <scheme val="minor"/>
    </font>
    <font>
      <vertAlign val="subscript"/>
      <sz val="11"/>
      <color theme="1"/>
      <name val="맑은 고딕"/>
      <family val="3"/>
      <charset val="129"/>
    </font>
    <font>
      <sz val="1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indexed="8"/>
      <name val="Arial"/>
      <family val="2"/>
    </font>
    <font>
      <sz val="11"/>
      <name val="맑은 고딕"/>
      <family val="2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BE5C8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8" fillId="4" borderId="0">
      <alignment vertical="center"/>
    </xf>
    <xf numFmtId="0" fontId="23" fillId="0" borderId="0"/>
  </cellStyleXfs>
  <cellXfs count="46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left" vertical="center"/>
    </xf>
    <xf numFmtId="0" fontId="1" fillId="2" borderId="0" xfId="0" applyFont="1" applyFill="1">
      <alignment vertical="center"/>
    </xf>
    <xf numFmtId="0" fontId="5" fillId="0" borderId="0" xfId="0" applyFont="1">
      <alignment vertical="center"/>
    </xf>
    <xf numFmtId="0" fontId="1" fillId="3" borderId="0" xfId="0" applyFont="1" applyFill="1">
      <alignment vertical="center"/>
    </xf>
    <xf numFmtId="0" fontId="6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2" fontId="6" fillId="0" borderId="0" xfId="0" applyNumberFormat="1" applyFont="1">
      <alignment vertical="center"/>
    </xf>
    <xf numFmtId="1" fontId="6" fillId="0" borderId="0" xfId="0" applyNumberFormat="1" applyFont="1">
      <alignment vertical="center"/>
    </xf>
    <xf numFmtId="1" fontId="6" fillId="3" borderId="0" xfId="0" applyNumberFormat="1" applyFont="1" applyFill="1">
      <alignment vertical="center"/>
    </xf>
    <xf numFmtId="0" fontId="6" fillId="2" borderId="0" xfId="0" applyFont="1" applyFill="1">
      <alignment vertical="center"/>
    </xf>
    <xf numFmtId="1" fontId="0" fillId="0" borderId="0" xfId="0" applyNumberFormat="1">
      <alignment vertical="center"/>
    </xf>
    <xf numFmtId="176" fontId="6" fillId="0" borderId="0" xfId="0" applyNumberFormat="1" applyFont="1">
      <alignment vertical="center"/>
    </xf>
    <xf numFmtId="0" fontId="9" fillId="0" borderId="0" xfId="0" applyFo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2" fontId="0" fillId="0" borderId="0" xfId="0" applyNumberFormat="1">
      <alignment vertical="center"/>
    </xf>
    <xf numFmtId="0" fontId="15" fillId="0" borderId="0" xfId="0" applyFont="1">
      <alignment vertical="center"/>
    </xf>
    <xf numFmtId="0" fontId="0" fillId="0" borderId="0" xfId="0" applyAlignment="1">
      <alignment horizontal="center"/>
    </xf>
    <xf numFmtId="0" fontId="16" fillId="0" borderId="0" xfId="0" applyFont="1">
      <alignment vertical="center"/>
    </xf>
    <xf numFmtId="0" fontId="20" fillId="0" borderId="0" xfId="0" applyFont="1">
      <alignment vertical="center"/>
    </xf>
    <xf numFmtId="1" fontId="20" fillId="0" borderId="0" xfId="0" applyNumberFormat="1" applyFont="1">
      <alignment vertical="center"/>
    </xf>
    <xf numFmtId="0" fontId="6" fillId="0" borderId="0" xfId="0" applyFont="1" applyAlignment="1">
      <alignment horizontal="right" vertical="center"/>
    </xf>
    <xf numFmtId="0" fontId="21" fillId="0" borderId="0" xfId="0" applyFont="1">
      <alignment vertical="center"/>
    </xf>
    <xf numFmtId="176" fontId="0" fillId="0" borderId="0" xfId="0" applyNumberFormat="1">
      <alignment vertical="center"/>
    </xf>
    <xf numFmtId="1" fontId="21" fillId="0" borderId="0" xfId="0" applyNumberFormat="1" applyFont="1">
      <alignment vertical="center"/>
    </xf>
    <xf numFmtId="2" fontId="21" fillId="0" borderId="0" xfId="0" applyNumberFormat="1" applyFont="1">
      <alignment vertical="center"/>
    </xf>
    <xf numFmtId="176" fontId="21" fillId="0" borderId="0" xfId="0" applyNumberFormat="1" applyFont="1">
      <alignment vertical="center"/>
    </xf>
    <xf numFmtId="0" fontId="17" fillId="0" borderId="0" xfId="0" applyFont="1" applyAlignment="1">
      <alignment horizontal="center" vertical="center"/>
    </xf>
    <xf numFmtId="0" fontId="23" fillId="0" borderId="0" xfId="2"/>
    <xf numFmtId="0" fontId="24" fillId="5" borderId="0" xfId="2" applyFont="1" applyFill="1"/>
    <xf numFmtId="0" fontId="24" fillId="6" borderId="0" xfId="2" applyFont="1" applyFill="1"/>
    <xf numFmtId="0" fontId="25" fillId="0" borderId="0" xfId="2" applyFont="1"/>
    <xf numFmtId="0" fontId="0" fillId="0" borderId="0" xfId="0" applyAlignment="1"/>
    <xf numFmtId="0" fontId="23" fillId="5" borderId="0" xfId="0" applyFont="1" applyFill="1" applyAlignment="1"/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6" fillId="0" borderId="0" xfId="0" applyFont="1" applyAlignment="1">
      <alignment horizontal="center" vertical="center"/>
    </xf>
    <xf numFmtId="1" fontId="20" fillId="0" borderId="0" xfId="0" applyNumberFormat="1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27" fillId="0" borderId="0" xfId="0" applyFont="1">
      <alignment vertical="center"/>
    </xf>
  </cellXfs>
  <cellStyles count="3">
    <cellStyle name="보통 2" xfId="1" xr:uid="{23753F1F-1E61-4201-B825-F728F1803A08}"/>
    <cellStyle name="표준" xfId="0" builtinId="0"/>
    <cellStyle name="표준 2" xfId="2" xr:uid="{5A0E7D97-7697-4D98-A05D-5C0B57655189}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2843E-A974-45CA-8223-672B4BBB822E}">
  <dimension ref="A1:AG146"/>
  <sheetViews>
    <sheetView tabSelected="1" topLeftCell="K1" zoomScale="55" zoomScaleNormal="55" workbookViewId="0">
      <pane ySplit="1" topLeftCell="A34" activePane="bottomLeft" state="frozen"/>
      <selection pane="bottomLeft" activeCell="Z91" sqref="Z91"/>
    </sheetView>
  </sheetViews>
  <sheetFormatPr defaultColWidth="9" defaultRowHeight="16.5" x14ac:dyDescent="0.3"/>
  <cols>
    <col min="1" max="1" width="14.625" customWidth="1"/>
    <col min="2" max="2" width="9.875" customWidth="1"/>
    <col min="3" max="3" width="77.875" style="15" customWidth="1"/>
    <col min="4" max="4" width="16.375" customWidth="1"/>
    <col min="5" max="5" width="16.625" bestFit="1" customWidth="1"/>
    <col min="6" max="6" width="13.375" customWidth="1"/>
    <col min="7" max="7" width="11.875" customWidth="1"/>
    <col min="8" max="8" width="16.875" bestFit="1" customWidth="1"/>
    <col min="9" max="9" width="20.125" bestFit="1" customWidth="1"/>
    <col min="10" max="10" width="10.625" customWidth="1"/>
    <col min="11" max="11" width="23.375" customWidth="1"/>
    <col min="12" max="12" width="23.625" customWidth="1"/>
    <col min="13" max="13" width="29" customWidth="1"/>
    <col min="14" max="14" width="19.5" customWidth="1"/>
    <col min="15" max="15" width="22.25" customWidth="1"/>
    <col min="16" max="16" width="16.25" customWidth="1"/>
    <col min="17" max="18" width="12.875" bestFit="1" customWidth="1"/>
    <col min="19" max="19" width="7.375" customWidth="1"/>
    <col min="20" max="20" width="26.5" customWidth="1"/>
    <col min="21" max="22" width="21.25" customWidth="1"/>
    <col min="23" max="23" width="12.125" customWidth="1"/>
    <col min="24" max="25" width="12.875" bestFit="1" customWidth="1"/>
    <col min="26" max="26" width="6.875" customWidth="1"/>
    <col min="27" max="28" width="13.75" bestFit="1" customWidth="1"/>
    <col min="29" max="29" width="15.25" bestFit="1" customWidth="1"/>
    <col min="30" max="30" width="14.125" bestFit="1" customWidth="1"/>
    <col min="31" max="31" width="9.25" bestFit="1" customWidth="1"/>
  </cols>
  <sheetData>
    <row r="1" spans="1:33" s="4" customFormat="1" ht="18" x14ac:dyDescent="0.3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44" t="s">
        <v>5</v>
      </c>
      <c r="G1" s="44"/>
      <c r="H1" s="1" t="s">
        <v>6</v>
      </c>
      <c r="I1" s="1" t="s">
        <v>33</v>
      </c>
      <c r="J1" s="1" t="s">
        <v>7</v>
      </c>
      <c r="K1" s="1" t="s">
        <v>31</v>
      </c>
      <c r="L1" s="1" t="s">
        <v>32</v>
      </c>
      <c r="M1" s="1" t="s">
        <v>8</v>
      </c>
      <c r="N1" s="43" t="s">
        <v>118</v>
      </c>
      <c r="O1" s="43"/>
      <c r="P1" s="43"/>
      <c r="Q1" s="43" t="s">
        <v>9</v>
      </c>
      <c r="R1" s="43"/>
      <c r="S1" s="43"/>
      <c r="T1" s="1" t="s">
        <v>10</v>
      </c>
      <c r="U1" s="43" t="s">
        <v>119</v>
      </c>
      <c r="V1" s="43"/>
      <c r="W1" s="43"/>
      <c r="X1" s="1" t="s">
        <v>11</v>
      </c>
      <c r="Y1" s="1" t="s">
        <v>12</v>
      </c>
      <c r="Z1" s="1" t="s">
        <v>13</v>
      </c>
      <c r="AA1" s="1" t="s">
        <v>14</v>
      </c>
      <c r="AB1" s="1"/>
      <c r="AC1" s="3" t="s">
        <v>15</v>
      </c>
      <c r="AD1" s="1" t="s">
        <v>16</v>
      </c>
      <c r="AE1" s="1" t="s">
        <v>17</v>
      </c>
      <c r="AG1" s="4" t="s">
        <v>2864</v>
      </c>
    </row>
    <row r="2" spans="1:33" s="4" customFormat="1" ht="18" x14ac:dyDescent="0.3">
      <c r="A2" s="1"/>
      <c r="B2" s="1"/>
      <c r="C2" s="2"/>
      <c r="D2" s="1" t="s">
        <v>18</v>
      </c>
      <c r="E2" s="1"/>
      <c r="F2" s="1" t="s">
        <v>19</v>
      </c>
      <c r="G2" s="1" t="s">
        <v>20</v>
      </c>
      <c r="H2" s="1"/>
      <c r="I2" s="1"/>
      <c r="J2" s="1"/>
      <c r="K2" s="1"/>
      <c r="L2" s="4" t="s">
        <v>114</v>
      </c>
      <c r="M2" s="1" t="s">
        <v>21</v>
      </c>
      <c r="N2" s="1" t="s">
        <v>22</v>
      </c>
      <c r="O2" s="1" t="s">
        <v>23</v>
      </c>
      <c r="P2" s="1" t="s">
        <v>24</v>
      </c>
      <c r="Q2" s="1" t="s">
        <v>22</v>
      </c>
      <c r="R2" s="1" t="s">
        <v>23</v>
      </c>
      <c r="S2" s="1" t="s">
        <v>24</v>
      </c>
      <c r="T2" s="1" t="s">
        <v>21</v>
      </c>
      <c r="U2" s="1" t="s">
        <v>22</v>
      </c>
      <c r="V2" s="1" t="s">
        <v>23</v>
      </c>
      <c r="W2" s="1" t="s">
        <v>24</v>
      </c>
      <c r="X2" s="1"/>
      <c r="Y2" s="1"/>
      <c r="Z2" s="1" t="s">
        <v>25</v>
      </c>
      <c r="AA2" s="5" t="s">
        <v>34</v>
      </c>
      <c r="AB2" s="1" t="s">
        <v>11</v>
      </c>
      <c r="AC2" s="3" t="s">
        <v>26</v>
      </c>
      <c r="AD2" s="1" t="s">
        <v>27</v>
      </c>
      <c r="AE2" s="1" t="s">
        <v>27</v>
      </c>
    </row>
    <row r="3" spans="1:33" x14ac:dyDescent="0.3">
      <c r="A3" s="6">
        <v>1</v>
      </c>
      <c r="B3" s="6">
        <v>1</v>
      </c>
      <c r="C3" s="36" t="s">
        <v>112</v>
      </c>
      <c r="D3" s="36" t="s">
        <v>37</v>
      </c>
      <c r="E3" s="38">
        <v>2002</v>
      </c>
      <c r="F3" s="36" t="s">
        <v>38</v>
      </c>
      <c r="G3" s="36" t="s">
        <v>39</v>
      </c>
      <c r="H3" s="38">
        <v>2000</v>
      </c>
      <c r="I3" s="38" t="s">
        <v>28</v>
      </c>
      <c r="J3" s="38">
        <v>3</v>
      </c>
      <c r="K3" s="38" t="s">
        <v>35</v>
      </c>
      <c r="L3" s="20">
        <f>M3*3.44</f>
        <v>516</v>
      </c>
      <c r="M3" s="6">
        <v>150</v>
      </c>
      <c r="N3" s="8">
        <v>536</v>
      </c>
      <c r="O3" s="8" t="s">
        <v>72</v>
      </c>
      <c r="P3" s="6" t="s">
        <v>46</v>
      </c>
      <c r="Q3" s="9" t="s">
        <v>72</v>
      </c>
      <c r="R3" s="8" t="s">
        <v>72</v>
      </c>
      <c r="S3" s="8" t="s">
        <v>72</v>
      </c>
      <c r="T3" s="6">
        <v>150</v>
      </c>
      <c r="U3" s="8">
        <v>219</v>
      </c>
      <c r="V3" s="8" t="s">
        <v>72</v>
      </c>
      <c r="W3" s="6" t="s">
        <v>46</v>
      </c>
      <c r="X3" s="8" t="s">
        <v>72</v>
      </c>
      <c r="Y3" s="8" t="s">
        <v>72</v>
      </c>
      <c r="Z3" s="8" t="s">
        <v>72</v>
      </c>
      <c r="AA3" s="10">
        <f t="shared" ref="AA3:AA6" si="0">(U3-N3)/N3*100</f>
        <v>-59.141791044776113</v>
      </c>
      <c r="AB3" s="8" t="e">
        <f t="shared" ref="AB3:AB6" si="1">(X3-Q3)/Q3*100</f>
        <v>#VALUE!</v>
      </c>
      <c r="AC3" s="11">
        <v>2.8</v>
      </c>
      <c r="AD3" s="6">
        <v>38.700000000000003</v>
      </c>
      <c r="AE3" s="6">
        <f t="shared" ref="AE3:AE6" si="2">AD3*1.724</f>
        <v>66.718800000000002</v>
      </c>
      <c r="AF3" s="12"/>
    </row>
    <row r="4" spans="1:33" x14ac:dyDescent="0.3">
      <c r="A4" s="6">
        <v>2</v>
      </c>
      <c r="B4" s="6">
        <v>1</v>
      </c>
      <c r="C4" s="36"/>
      <c r="D4" s="36"/>
      <c r="E4" s="38"/>
      <c r="F4" s="36"/>
      <c r="G4" s="36"/>
      <c r="H4" s="38"/>
      <c r="I4" s="38"/>
      <c r="J4" s="38"/>
      <c r="K4" s="38"/>
      <c r="L4" s="20">
        <v>1031</v>
      </c>
      <c r="M4" s="6">
        <v>300</v>
      </c>
      <c r="N4" s="8">
        <v>722</v>
      </c>
      <c r="O4" s="8" t="s">
        <v>72</v>
      </c>
      <c r="P4" s="6" t="s">
        <v>46</v>
      </c>
      <c r="Q4" s="9" t="s">
        <v>72</v>
      </c>
      <c r="R4" s="8" t="s">
        <v>72</v>
      </c>
      <c r="S4" s="8" t="s">
        <v>72</v>
      </c>
      <c r="T4" s="6">
        <v>300</v>
      </c>
      <c r="U4" s="8">
        <v>316</v>
      </c>
      <c r="V4" s="8" t="s">
        <v>72</v>
      </c>
      <c r="W4" s="6" t="s">
        <v>46</v>
      </c>
      <c r="X4" s="8" t="s">
        <v>72</v>
      </c>
      <c r="Y4" s="8" t="s">
        <v>72</v>
      </c>
      <c r="Z4" s="8" t="s">
        <v>72</v>
      </c>
      <c r="AA4" s="10">
        <f t="shared" si="0"/>
        <v>-56.232686980609415</v>
      </c>
      <c r="AB4" s="8" t="e">
        <f t="shared" si="1"/>
        <v>#VALUE!</v>
      </c>
      <c r="AC4" s="11">
        <v>2.8</v>
      </c>
      <c r="AD4" s="6">
        <v>38.700000000000003</v>
      </c>
      <c r="AE4" s="6">
        <f t="shared" si="2"/>
        <v>66.718800000000002</v>
      </c>
      <c r="AF4" s="12"/>
    </row>
    <row r="5" spans="1:33" x14ac:dyDescent="0.3">
      <c r="A5" s="6">
        <v>3</v>
      </c>
      <c r="B5" s="6">
        <v>2</v>
      </c>
      <c r="C5" s="36" t="s">
        <v>123</v>
      </c>
      <c r="D5" s="38" t="s">
        <v>40</v>
      </c>
      <c r="E5" s="38">
        <v>2018</v>
      </c>
      <c r="F5" s="36" t="s">
        <v>41</v>
      </c>
      <c r="G5" s="36" t="s">
        <v>42</v>
      </c>
      <c r="H5" s="38">
        <v>2015</v>
      </c>
      <c r="I5" s="38" t="s">
        <v>45</v>
      </c>
      <c r="J5" s="38">
        <v>3</v>
      </c>
      <c r="K5" s="38" t="s">
        <v>35</v>
      </c>
      <c r="L5" s="41">
        <v>103</v>
      </c>
      <c r="M5" s="36">
        <v>30</v>
      </c>
      <c r="N5" s="8">
        <v>0.21</v>
      </c>
      <c r="O5" s="8" t="s">
        <v>72</v>
      </c>
      <c r="P5" s="6" t="s">
        <v>29</v>
      </c>
      <c r="Q5" s="13">
        <v>11.1</v>
      </c>
      <c r="R5" s="8"/>
      <c r="S5" s="6" t="s">
        <v>47</v>
      </c>
      <c r="T5">
        <v>30</v>
      </c>
      <c r="U5" s="8">
        <v>0.24</v>
      </c>
      <c r="V5" s="8" t="s">
        <v>72</v>
      </c>
      <c r="W5" s="6" t="s">
        <v>29</v>
      </c>
      <c r="X5" s="13">
        <v>10.5</v>
      </c>
      <c r="Y5" s="8"/>
      <c r="Z5" s="6" t="s">
        <v>47</v>
      </c>
      <c r="AA5" s="10">
        <f t="shared" si="0"/>
        <v>14.285714285714285</v>
      </c>
      <c r="AB5" s="8">
        <f t="shared" si="1"/>
        <v>-5.4054054054054026</v>
      </c>
      <c r="AC5" s="11">
        <v>0.83</v>
      </c>
      <c r="AD5" s="6">
        <v>15.4</v>
      </c>
      <c r="AE5" s="6">
        <f t="shared" si="2"/>
        <v>26.549600000000002</v>
      </c>
      <c r="AF5" s="12"/>
    </row>
    <row r="6" spans="1:33" ht="17.45" customHeight="1" x14ac:dyDescent="0.3">
      <c r="A6" s="6">
        <v>4</v>
      </c>
      <c r="B6" s="6">
        <v>2</v>
      </c>
      <c r="C6" s="36"/>
      <c r="D6" s="38"/>
      <c r="E6" s="38"/>
      <c r="F6" s="36"/>
      <c r="G6" s="36"/>
      <c r="H6" s="38"/>
      <c r="I6" s="38"/>
      <c r="J6" s="38"/>
      <c r="K6" s="38"/>
      <c r="L6" s="41"/>
      <c r="M6" s="36"/>
      <c r="N6" s="8">
        <v>0.3</v>
      </c>
      <c r="O6" s="8" t="s">
        <v>72</v>
      </c>
      <c r="P6" s="6" t="s">
        <v>29</v>
      </c>
      <c r="Q6">
        <v>10.7</v>
      </c>
      <c r="S6" s="6" t="s">
        <v>47</v>
      </c>
      <c r="T6">
        <v>30</v>
      </c>
      <c r="U6">
        <v>0.24</v>
      </c>
      <c r="V6" s="8" t="s">
        <v>72</v>
      </c>
      <c r="W6" s="6" t="s">
        <v>29</v>
      </c>
      <c r="X6">
        <v>10.5</v>
      </c>
      <c r="Z6" s="6" t="s">
        <v>47</v>
      </c>
      <c r="AA6" s="10">
        <f t="shared" si="0"/>
        <v>-20</v>
      </c>
      <c r="AB6" s="8">
        <f t="shared" si="1"/>
        <v>-1.8691588785046664</v>
      </c>
      <c r="AC6" s="11">
        <v>0.83</v>
      </c>
      <c r="AD6">
        <v>15.4</v>
      </c>
      <c r="AE6" s="6">
        <f t="shared" si="2"/>
        <v>26.549600000000002</v>
      </c>
    </row>
    <row r="7" spans="1:33" x14ac:dyDescent="0.3">
      <c r="A7" s="6">
        <v>5</v>
      </c>
      <c r="B7" s="6">
        <v>2</v>
      </c>
      <c r="C7" s="36"/>
      <c r="D7" s="38"/>
      <c r="E7" s="38"/>
      <c r="F7" s="36" t="s">
        <v>43</v>
      </c>
      <c r="G7" s="36" t="s">
        <v>44</v>
      </c>
      <c r="H7" s="38"/>
      <c r="I7" s="38"/>
      <c r="J7" s="38"/>
      <c r="K7" s="38"/>
      <c r="L7" s="41"/>
      <c r="M7" s="36"/>
      <c r="N7" s="8">
        <v>0.17</v>
      </c>
      <c r="O7" s="8" t="s">
        <v>72</v>
      </c>
      <c r="P7" s="6" t="s">
        <v>29</v>
      </c>
      <c r="Q7" s="13">
        <v>10.1</v>
      </c>
      <c r="R7" s="8"/>
      <c r="S7" s="6" t="s">
        <v>47</v>
      </c>
      <c r="T7">
        <v>30</v>
      </c>
      <c r="U7" s="8">
        <v>0.18</v>
      </c>
      <c r="V7" s="8" t="s">
        <v>72</v>
      </c>
      <c r="W7" s="6" t="s">
        <v>29</v>
      </c>
      <c r="X7" s="13">
        <v>9.6</v>
      </c>
      <c r="Y7" s="8"/>
      <c r="Z7" s="6" t="s">
        <v>47</v>
      </c>
      <c r="AA7" s="10">
        <f>(U7-N7)/N7*100</f>
        <v>5.8823529411764595</v>
      </c>
      <c r="AB7" s="8">
        <f>(X7-Q7)/Q7*100</f>
        <v>-4.9504950495049505</v>
      </c>
      <c r="AC7" s="11">
        <v>0.25</v>
      </c>
      <c r="AD7" s="8">
        <v>14</v>
      </c>
      <c r="AE7" s="6">
        <f>AD7*1.724</f>
        <v>24.135999999999999</v>
      </c>
      <c r="AF7" s="12"/>
    </row>
    <row r="8" spans="1:33" x14ac:dyDescent="0.3">
      <c r="A8" s="6">
        <v>6</v>
      </c>
      <c r="B8" s="6">
        <v>2</v>
      </c>
      <c r="C8" s="36"/>
      <c r="D8" s="38"/>
      <c r="E8" s="38"/>
      <c r="F8" s="36"/>
      <c r="G8" s="36"/>
      <c r="H8" s="38"/>
      <c r="I8" s="38"/>
      <c r="J8" s="38"/>
      <c r="K8" s="38"/>
      <c r="L8" s="41"/>
      <c r="M8" s="36"/>
      <c r="N8" s="8">
        <v>0.25</v>
      </c>
      <c r="O8" s="8" t="s">
        <v>72</v>
      </c>
      <c r="P8" s="6" t="s">
        <v>29</v>
      </c>
      <c r="Q8" s="13">
        <v>10.1</v>
      </c>
      <c r="S8" s="6" t="s">
        <v>47</v>
      </c>
      <c r="T8">
        <v>30</v>
      </c>
      <c r="U8">
        <v>0.18</v>
      </c>
      <c r="V8" s="8" t="s">
        <v>72</v>
      </c>
      <c r="W8" s="6" t="s">
        <v>29</v>
      </c>
      <c r="X8">
        <v>9.6</v>
      </c>
      <c r="Z8" s="6" t="s">
        <v>47</v>
      </c>
      <c r="AA8" s="10">
        <f t="shared" ref="AA8:AA10" si="3">(U8-N8)/N8*100</f>
        <v>-28.000000000000004</v>
      </c>
      <c r="AB8" s="8">
        <f t="shared" ref="AB8:AB10" si="4">(X8-Q8)/Q8*100</f>
        <v>-4.9504950495049505</v>
      </c>
      <c r="AC8" s="11">
        <v>0.25</v>
      </c>
      <c r="AD8">
        <v>14</v>
      </c>
      <c r="AE8" s="6">
        <f t="shared" ref="AE8:AE10" si="5">AD8*1.724</f>
        <v>24.135999999999999</v>
      </c>
    </row>
    <row r="9" spans="1:33" x14ac:dyDescent="0.3">
      <c r="A9" s="6">
        <v>7</v>
      </c>
      <c r="B9" s="6">
        <v>2</v>
      </c>
      <c r="C9" s="36"/>
      <c r="D9" s="38"/>
      <c r="E9" s="38"/>
      <c r="F9" s="36" t="s">
        <v>41</v>
      </c>
      <c r="G9" s="36" t="s">
        <v>42</v>
      </c>
      <c r="H9" s="38"/>
      <c r="I9" s="38"/>
      <c r="J9" s="38"/>
      <c r="K9" s="38"/>
      <c r="L9" s="41">
        <v>206</v>
      </c>
      <c r="M9" s="36">
        <v>60</v>
      </c>
      <c r="N9" s="8">
        <v>0.38</v>
      </c>
      <c r="O9" s="8" t="s">
        <v>72</v>
      </c>
      <c r="P9" s="6" t="s">
        <v>29</v>
      </c>
      <c r="Q9" s="25">
        <v>13.6</v>
      </c>
      <c r="S9" s="6" t="s">
        <v>47</v>
      </c>
      <c r="T9">
        <v>60</v>
      </c>
      <c r="U9" s="8">
        <v>0.51</v>
      </c>
      <c r="V9" s="8" t="s">
        <v>72</v>
      </c>
      <c r="W9" s="6" t="s">
        <v>29</v>
      </c>
      <c r="X9" s="25">
        <v>13.2</v>
      </c>
      <c r="Z9" s="6" t="s">
        <v>47</v>
      </c>
      <c r="AA9" s="10">
        <f t="shared" si="3"/>
        <v>34.210526315789473</v>
      </c>
      <c r="AB9" s="8">
        <f t="shared" si="4"/>
        <v>-2.9411764705882382</v>
      </c>
      <c r="AC9" s="11">
        <v>0.83</v>
      </c>
      <c r="AD9" s="6">
        <v>15.4</v>
      </c>
      <c r="AE9" s="6">
        <f t="shared" si="5"/>
        <v>26.549600000000002</v>
      </c>
    </row>
    <row r="10" spans="1:33" x14ac:dyDescent="0.3">
      <c r="A10" s="6">
        <v>8</v>
      </c>
      <c r="B10" s="6">
        <v>2</v>
      </c>
      <c r="C10" s="36"/>
      <c r="D10" s="38"/>
      <c r="E10" s="38"/>
      <c r="F10" s="36"/>
      <c r="G10" s="36"/>
      <c r="H10" s="38"/>
      <c r="I10" s="38"/>
      <c r="J10" s="38"/>
      <c r="K10" s="38"/>
      <c r="L10" s="41"/>
      <c r="M10" s="36"/>
      <c r="N10" s="8">
        <v>0.59</v>
      </c>
      <c r="O10" s="8" t="s">
        <v>72</v>
      </c>
      <c r="P10" s="6" t="s">
        <v>29</v>
      </c>
      <c r="Q10">
        <v>13.4</v>
      </c>
      <c r="S10" s="6" t="s">
        <v>47</v>
      </c>
      <c r="T10">
        <v>60</v>
      </c>
      <c r="U10">
        <v>0.51</v>
      </c>
      <c r="V10" s="8" t="s">
        <v>72</v>
      </c>
      <c r="W10" s="6" t="s">
        <v>29</v>
      </c>
      <c r="X10">
        <v>13.2</v>
      </c>
      <c r="Z10" s="6" t="s">
        <v>47</v>
      </c>
      <c r="AA10" s="10">
        <f t="shared" si="3"/>
        <v>-13.559322033898299</v>
      </c>
      <c r="AB10" s="8">
        <f t="shared" si="4"/>
        <v>-1.4925373134328437</v>
      </c>
      <c r="AC10" s="11">
        <v>0.83</v>
      </c>
      <c r="AD10">
        <v>15.4</v>
      </c>
      <c r="AE10" s="6">
        <f t="shared" si="5"/>
        <v>26.549600000000002</v>
      </c>
    </row>
    <row r="11" spans="1:33" x14ac:dyDescent="0.3">
      <c r="A11" s="6">
        <v>9</v>
      </c>
      <c r="B11" s="6">
        <v>2</v>
      </c>
      <c r="C11" s="36"/>
      <c r="D11" s="38"/>
      <c r="E11" s="38"/>
      <c r="F11" s="36" t="s">
        <v>43</v>
      </c>
      <c r="G11" s="36" t="s">
        <v>44</v>
      </c>
      <c r="H11" s="38"/>
      <c r="I11" s="38"/>
      <c r="J11" s="38"/>
      <c r="K11" s="38"/>
      <c r="L11" s="41"/>
      <c r="M11" s="36"/>
      <c r="N11" s="8">
        <v>0.28999999999999998</v>
      </c>
      <c r="O11" s="8" t="s">
        <v>72</v>
      </c>
      <c r="P11" s="6" t="s">
        <v>29</v>
      </c>
      <c r="Q11" s="13">
        <v>11.5</v>
      </c>
      <c r="R11" s="8"/>
      <c r="S11" s="6" t="s">
        <v>47</v>
      </c>
      <c r="T11">
        <v>60</v>
      </c>
      <c r="U11" s="8">
        <v>0.28999999999999998</v>
      </c>
      <c r="V11" s="8" t="s">
        <v>72</v>
      </c>
      <c r="W11" s="6" t="s">
        <v>29</v>
      </c>
      <c r="X11" s="13">
        <v>12.5</v>
      </c>
      <c r="Y11" s="8"/>
      <c r="Z11" s="6" t="s">
        <v>47</v>
      </c>
      <c r="AA11" s="10">
        <f>(U11-N11)/N11*100</f>
        <v>0</v>
      </c>
      <c r="AB11" s="8">
        <f>(X11-Q11)/Q11*100</f>
        <v>8.695652173913043</v>
      </c>
      <c r="AC11" s="11">
        <v>0.25</v>
      </c>
      <c r="AD11" s="8">
        <v>14</v>
      </c>
      <c r="AE11" s="6">
        <f>AD11*1.724</f>
        <v>24.135999999999999</v>
      </c>
      <c r="AF11" s="12"/>
    </row>
    <row r="12" spans="1:33" x14ac:dyDescent="0.3">
      <c r="A12" s="6">
        <v>10</v>
      </c>
      <c r="B12" s="6">
        <v>2</v>
      </c>
      <c r="C12" s="36"/>
      <c r="D12" s="38"/>
      <c r="E12" s="38"/>
      <c r="F12" s="36"/>
      <c r="G12" s="36"/>
      <c r="H12" s="38"/>
      <c r="I12" s="38"/>
      <c r="J12" s="38"/>
      <c r="K12" s="38"/>
      <c r="L12" s="41"/>
      <c r="M12" s="36"/>
      <c r="N12" s="8">
        <v>0.45</v>
      </c>
      <c r="O12" s="8" t="s">
        <v>72</v>
      </c>
      <c r="P12" s="6" t="s">
        <v>29</v>
      </c>
      <c r="Q12" s="13">
        <v>11</v>
      </c>
      <c r="S12" s="6" t="s">
        <v>47</v>
      </c>
      <c r="T12">
        <v>60</v>
      </c>
      <c r="U12">
        <v>0.28999999999999998</v>
      </c>
      <c r="V12" s="8" t="s">
        <v>72</v>
      </c>
      <c r="W12" s="6" t="s">
        <v>29</v>
      </c>
      <c r="X12">
        <v>12.5</v>
      </c>
      <c r="Z12" s="6" t="s">
        <v>47</v>
      </c>
      <c r="AA12" s="10">
        <f t="shared" ref="AA12:AA14" si="6">(U12-N12)/N12*100</f>
        <v>-35.555555555555564</v>
      </c>
      <c r="AB12" s="8">
        <f t="shared" ref="AB12:AB14" si="7">(X12-Q12)/Q12*100</f>
        <v>13.636363636363635</v>
      </c>
      <c r="AC12" s="11">
        <v>0.25</v>
      </c>
      <c r="AD12">
        <v>14</v>
      </c>
      <c r="AE12" s="6">
        <f t="shared" ref="AE12:AE14" si="8">AD12*1.724</f>
        <v>24.135999999999999</v>
      </c>
    </row>
    <row r="13" spans="1:33" x14ac:dyDescent="0.3">
      <c r="A13" s="6">
        <v>11</v>
      </c>
      <c r="B13" s="6">
        <v>2</v>
      </c>
      <c r="C13" s="36"/>
      <c r="D13" s="38"/>
      <c r="E13" s="38"/>
      <c r="F13" s="36" t="s">
        <v>41</v>
      </c>
      <c r="G13" s="36" t="s">
        <v>42</v>
      </c>
      <c r="H13" s="38"/>
      <c r="I13" s="38"/>
      <c r="J13" s="38"/>
      <c r="K13" s="38"/>
      <c r="L13" s="41">
        <v>310</v>
      </c>
      <c r="M13" s="36">
        <v>90</v>
      </c>
      <c r="N13" s="8">
        <v>0.64</v>
      </c>
      <c r="O13" s="8" t="s">
        <v>72</v>
      </c>
      <c r="P13" s="6" t="s">
        <v>29</v>
      </c>
      <c r="Q13" s="13">
        <v>16.100000000000001</v>
      </c>
      <c r="R13" s="8"/>
      <c r="S13" s="6" t="s">
        <v>47</v>
      </c>
      <c r="T13">
        <v>90</v>
      </c>
      <c r="U13" s="8">
        <v>0.89</v>
      </c>
      <c r="V13" s="8" t="s">
        <v>72</v>
      </c>
      <c r="W13" s="6" t="s">
        <v>29</v>
      </c>
      <c r="X13" s="13">
        <v>15.3</v>
      </c>
      <c r="Y13" s="8"/>
      <c r="Z13" s="6" t="s">
        <v>47</v>
      </c>
      <c r="AA13" s="10">
        <f t="shared" si="6"/>
        <v>39.0625</v>
      </c>
      <c r="AB13" s="8">
        <f t="shared" si="7"/>
        <v>-4.968944099378886</v>
      </c>
      <c r="AC13" s="11">
        <v>0.83</v>
      </c>
      <c r="AD13" s="6">
        <v>15.4</v>
      </c>
      <c r="AE13" s="6">
        <f t="shared" si="8"/>
        <v>26.549600000000002</v>
      </c>
      <c r="AF13" s="12"/>
    </row>
    <row r="14" spans="1:33" x14ac:dyDescent="0.3">
      <c r="A14" s="6">
        <v>12</v>
      </c>
      <c r="B14" s="6">
        <v>2</v>
      </c>
      <c r="C14" s="36"/>
      <c r="D14" s="38"/>
      <c r="E14" s="38"/>
      <c r="F14" s="36"/>
      <c r="G14" s="36"/>
      <c r="H14" s="38"/>
      <c r="I14" s="38"/>
      <c r="J14" s="38"/>
      <c r="K14" s="38"/>
      <c r="L14" s="41"/>
      <c r="M14" s="36"/>
      <c r="N14" s="8">
        <v>1.01</v>
      </c>
      <c r="O14" s="8" t="s">
        <v>72</v>
      </c>
      <c r="P14" s="6" t="s">
        <v>29</v>
      </c>
      <c r="Q14">
        <v>15.5</v>
      </c>
      <c r="S14" s="6" t="s">
        <v>47</v>
      </c>
      <c r="T14">
        <v>90</v>
      </c>
      <c r="U14">
        <v>0.89</v>
      </c>
      <c r="V14" s="8" t="s">
        <v>72</v>
      </c>
      <c r="W14" s="6" t="s">
        <v>29</v>
      </c>
      <c r="X14">
        <v>15.3</v>
      </c>
      <c r="Z14" s="6" t="s">
        <v>47</v>
      </c>
      <c r="AA14" s="10">
        <f t="shared" si="6"/>
        <v>-11.881188118811881</v>
      </c>
      <c r="AB14" s="8">
        <f t="shared" si="7"/>
        <v>-1.2903225806451568</v>
      </c>
      <c r="AC14" s="11">
        <v>0.83</v>
      </c>
      <c r="AD14">
        <v>15.4</v>
      </c>
      <c r="AE14" s="6">
        <f t="shared" si="8"/>
        <v>26.549600000000002</v>
      </c>
    </row>
    <row r="15" spans="1:33" x14ac:dyDescent="0.3">
      <c r="A15" s="6">
        <v>13</v>
      </c>
      <c r="B15" s="6">
        <v>2</v>
      </c>
      <c r="C15" s="36"/>
      <c r="D15" s="38"/>
      <c r="E15" s="38"/>
      <c r="F15" s="36" t="s">
        <v>43</v>
      </c>
      <c r="G15" s="36" t="s">
        <v>44</v>
      </c>
      <c r="H15" s="38"/>
      <c r="I15" s="38"/>
      <c r="J15" s="38"/>
      <c r="K15" s="38"/>
      <c r="L15" s="41"/>
      <c r="M15" s="36"/>
      <c r="N15" s="8">
        <v>0.42</v>
      </c>
      <c r="O15" s="8" t="s">
        <v>72</v>
      </c>
      <c r="P15" s="6" t="s">
        <v>29</v>
      </c>
      <c r="Q15" s="13">
        <v>12.6</v>
      </c>
      <c r="R15" s="8"/>
      <c r="S15" s="6" t="s">
        <v>47</v>
      </c>
      <c r="T15">
        <v>90</v>
      </c>
      <c r="U15" s="8">
        <v>0.37</v>
      </c>
      <c r="V15" s="8" t="s">
        <v>72</v>
      </c>
      <c r="W15" s="6" t="s">
        <v>29</v>
      </c>
      <c r="X15" s="13">
        <v>13.6</v>
      </c>
      <c r="Y15" s="8"/>
      <c r="Z15" s="6" t="s">
        <v>47</v>
      </c>
      <c r="AA15" s="10">
        <f>(U15-N15)/N15*100</f>
        <v>-11.904761904761903</v>
      </c>
      <c r="AB15" s="8">
        <f>(X15-Q15)/Q15*100</f>
        <v>7.9365079365079358</v>
      </c>
      <c r="AC15" s="11">
        <v>0.25</v>
      </c>
      <c r="AD15" s="8">
        <v>14</v>
      </c>
      <c r="AE15" s="6">
        <f>AD15*1.724</f>
        <v>24.135999999999999</v>
      </c>
    </row>
    <row r="16" spans="1:33" x14ac:dyDescent="0.3">
      <c r="A16" s="6">
        <v>14</v>
      </c>
      <c r="B16" s="6">
        <v>2</v>
      </c>
      <c r="C16" s="36"/>
      <c r="D16" s="38"/>
      <c r="E16" s="38"/>
      <c r="F16" s="36"/>
      <c r="G16" s="36"/>
      <c r="H16" s="38"/>
      <c r="I16" s="38"/>
      <c r="J16" s="38"/>
      <c r="K16" s="38"/>
      <c r="L16" s="41"/>
      <c r="M16" s="36"/>
      <c r="N16" s="8">
        <v>0.72</v>
      </c>
      <c r="O16" s="8" t="s">
        <v>72</v>
      </c>
      <c r="P16" s="6" t="s">
        <v>29</v>
      </c>
      <c r="Q16" s="13">
        <v>11.7</v>
      </c>
      <c r="S16" s="6" t="s">
        <v>47</v>
      </c>
      <c r="T16">
        <v>90</v>
      </c>
      <c r="U16">
        <v>0.37</v>
      </c>
      <c r="V16" s="8" t="s">
        <v>72</v>
      </c>
      <c r="W16" s="6" t="s">
        <v>29</v>
      </c>
      <c r="X16">
        <v>13.6</v>
      </c>
      <c r="Z16" s="6" t="s">
        <v>47</v>
      </c>
      <c r="AA16" s="10">
        <f t="shared" ref="AA16" si="9">(U16-N16)/N16*100</f>
        <v>-48.611111111111107</v>
      </c>
      <c r="AB16" s="8">
        <f t="shared" ref="AB16" si="10">(X16-Q16)/Q16*100</f>
        <v>16.239316239316242</v>
      </c>
      <c r="AC16" s="11">
        <v>0.25</v>
      </c>
      <c r="AD16">
        <v>14</v>
      </c>
      <c r="AE16" s="6">
        <f t="shared" ref="AE16" si="11">AD16*1.724</f>
        <v>24.135999999999999</v>
      </c>
    </row>
    <row r="17" spans="1:33" x14ac:dyDescent="0.3">
      <c r="A17" s="6">
        <v>15</v>
      </c>
      <c r="B17" s="6">
        <v>3</v>
      </c>
      <c r="C17" s="19" t="s">
        <v>48</v>
      </c>
      <c r="D17" s="19" t="s">
        <v>49</v>
      </c>
      <c r="E17" s="7">
        <v>1999</v>
      </c>
      <c r="F17" s="6" t="s">
        <v>50</v>
      </c>
      <c r="G17" s="6">
        <v>146.19999999999999</v>
      </c>
      <c r="H17" s="23">
        <v>1995</v>
      </c>
      <c r="I17" s="6" t="s">
        <v>51</v>
      </c>
      <c r="J17" s="6">
        <v>3</v>
      </c>
      <c r="K17" s="6" t="s">
        <v>35</v>
      </c>
      <c r="L17" s="21">
        <v>550</v>
      </c>
      <c r="M17" s="6">
        <v>160</v>
      </c>
      <c r="N17" s="8">
        <v>1143</v>
      </c>
      <c r="O17" s="8" t="s">
        <v>72</v>
      </c>
      <c r="P17" s="6" t="s">
        <v>46</v>
      </c>
      <c r="Q17" s="9" t="s">
        <v>72</v>
      </c>
      <c r="R17" s="8" t="s">
        <v>72</v>
      </c>
      <c r="S17" s="8" t="s">
        <v>72</v>
      </c>
      <c r="T17" s="6">
        <v>160</v>
      </c>
      <c r="U17" s="8">
        <v>951</v>
      </c>
      <c r="V17" s="8" t="s">
        <v>72</v>
      </c>
      <c r="W17" s="6" t="s">
        <v>46</v>
      </c>
      <c r="X17" s="6" t="s">
        <v>72</v>
      </c>
      <c r="Y17" s="6" t="s">
        <v>72</v>
      </c>
      <c r="Z17" s="6" t="s">
        <v>72</v>
      </c>
      <c r="AA17" s="10">
        <f t="shared" ref="AA17:AA25" si="12">(U17-N17)/N17*100</f>
        <v>-16.797900262467191</v>
      </c>
      <c r="AB17" s="8" t="e">
        <f t="shared" ref="AB17:AB26" si="13">(X17-Q17)/Q17*100</f>
        <v>#VALUE!</v>
      </c>
      <c r="AC17" s="11">
        <v>1.1000000000000001</v>
      </c>
      <c r="AD17" s="8">
        <v>15.1</v>
      </c>
      <c r="AE17" s="6">
        <f t="shared" ref="AE17:AE26" si="14">AD17*1.724</f>
        <v>26.032399999999999</v>
      </c>
      <c r="AF17" s="12"/>
    </row>
    <row r="18" spans="1:33" x14ac:dyDescent="0.3">
      <c r="A18" s="6">
        <v>16</v>
      </c>
      <c r="B18" s="6">
        <v>4</v>
      </c>
      <c r="C18" s="19" t="s">
        <v>52</v>
      </c>
      <c r="D18" s="7" t="s">
        <v>53</v>
      </c>
      <c r="E18" s="7">
        <v>2021</v>
      </c>
      <c r="F18" t="s">
        <v>54</v>
      </c>
      <c r="G18" t="s">
        <v>55</v>
      </c>
      <c r="H18" s="23">
        <v>2017</v>
      </c>
      <c r="I18" s="6" t="s">
        <v>56</v>
      </c>
      <c r="J18" s="6">
        <v>3</v>
      </c>
      <c r="K18" s="6" t="s">
        <v>35</v>
      </c>
      <c r="L18" s="20">
        <v>121</v>
      </c>
      <c r="M18" s="6">
        <v>35.200000000000003</v>
      </c>
      <c r="N18" s="8">
        <v>1010</v>
      </c>
      <c r="O18" s="8" t="s">
        <v>72</v>
      </c>
      <c r="P18" s="6" t="s">
        <v>57</v>
      </c>
      <c r="Q18" s="9" t="s">
        <v>72</v>
      </c>
      <c r="R18" s="8" t="s">
        <v>72</v>
      </c>
      <c r="S18" s="8" t="s">
        <v>72</v>
      </c>
      <c r="T18" s="6">
        <v>35.200000000000003</v>
      </c>
      <c r="U18" s="8">
        <v>623.29999999999995</v>
      </c>
      <c r="V18" s="8" t="s">
        <v>72</v>
      </c>
      <c r="W18" s="6" t="s">
        <v>57</v>
      </c>
      <c r="X18" s="6" t="s">
        <v>72</v>
      </c>
      <c r="Y18" s="6" t="s">
        <v>72</v>
      </c>
      <c r="Z18" s="6" t="s">
        <v>72</v>
      </c>
      <c r="AA18" s="10">
        <f t="shared" si="12"/>
        <v>-38.287128712871294</v>
      </c>
      <c r="AB18" s="8" t="e">
        <f t="shared" si="13"/>
        <v>#VALUE!</v>
      </c>
      <c r="AC18" s="11">
        <v>2.2000000000000002</v>
      </c>
      <c r="AD18" s="6">
        <v>35.25</v>
      </c>
      <c r="AE18" s="6">
        <f t="shared" si="14"/>
        <v>60.771000000000001</v>
      </c>
      <c r="AF18" s="12" t="s">
        <v>115</v>
      </c>
      <c r="AG18" t="s">
        <v>2865</v>
      </c>
    </row>
    <row r="19" spans="1:33" ht="18" x14ac:dyDescent="0.3">
      <c r="A19" s="6">
        <v>17</v>
      </c>
      <c r="B19" s="6">
        <v>5</v>
      </c>
      <c r="C19" s="19" t="s">
        <v>162</v>
      </c>
      <c r="D19" s="7" t="s">
        <v>58</v>
      </c>
      <c r="E19" s="7">
        <v>2015</v>
      </c>
      <c r="F19" t="s">
        <v>59</v>
      </c>
      <c r="G19" t="s">
        <v>60</v>
      </c>
      <c r="H19" s="23">
        <v>2012</v>
      </c>
      <c r="I19" s="6" t="s">
        <v>30</v>
      </c>
      <c r="J19" s="6">
        <v>6</v>
      </c>
      <c r="K19" s="6" t="s">
        <v>35</v>
      </c>
      <c r="L19" s="20">
        <v>412.8</v>
      </c>
      <c r="M19" s="6">
        <v>120</v>
      </c>
      <c r="N19" s="8">
        <v>81</v>
      </c>
      <c r="O19" s="8" t="s">
        <v>2853</v>
      </c>
      <c r="P19" s="6" t="s">
        <v>61</v>
      </c>
      <c r="Q19" s="9" t="s">
        <v>72</v>
      </c>
      <c r="R19" s="8" t="s">
        <v>72</v>
      </c>
      <c r="S19" s="8" t="s">
        <v>72</v>
      </c>
      <c r="T19" s="6">
        <v>120</v>
      </c>
      <c r="U19" s="8">
        <v>113</v>
      </c>
      <c r="V19" s="8">
        <v>14</v>
      </c>
      <c r="W19" s="6" t="s">
        <v>61</v>
      </c>
      <c r="X19" s="6" t="s">
        <v>72</v>
      </c>
      <c r="Y19" s="6" t="s">
        <v>72</v>
      </c>
      <c r="Z19" s="6" t="s">
        <v>72</v>
      </c>
      <c r="AA19" s="10">
        <f t="shared" si="12"/>
        <v>39.506172839506171</v>
      </c>
      <c r="AB19" s="8" t="e">
        <f t="shared" si="13"/>
        <v>#VALUE!</v>
      </c>
      <c r="AC19" s="11">
        <v>0.2</v>
      </c>
      <c r="AD19" s="6">
        <v>5.3</v>
      </c>
      <c r="AE19" s="6">
        <f t="shared" si="14"/>
        <v>9.1372</v>
      </c>
      <c r="AF19" s="12"/>
      <c r="AG19" t="s">
        <v>2866</v>
      </c>
    </row>
    <row r="20" spans="1:33" x14ac:dyDescent="0.3">
      <c r="A20" s="6">
        <v>18</v>
      </c>
      <c r="B20" s="6">
        <v>6</v>
      </c>
      <c r="C20" s="19" t="s">
        <v>62</v>
      </c>
      <c r="D20" s="7" t="s">
        <v>63</v>
      </c>
      <c r="E20" s="7">
        <v>2016</v>
      </c>
      <c r="F20" t="s">
        <v>64</v>
      </c>
      <c r="G20" t="s">
        <v>65</v>
      </c>
      <c r="H20" s="23">
        <v>2005</v>
      </c>
      <c r="I20" s="6" t="s">
        <v>30</v>
      </c>
      <c r="J20" s="6">
        <v>3</v>
      </c>
      <c r="K20" s="6" t="s">
        <v>35</v>
      </c>
      <c r="L20" s="20">
        <v>516</v>
      </c>
      <c r="M20" s="6">
        <v>150</v>
      </c>
      <c r="N20" s="8">
        <v>1.71</v>
      </c>
      <c r="O20" s="8">
        <v>0.12</v>
      </c>
      <c r="P20" s="6" t="s">
        <v>29</v>
      </c>
      <c r="Q20" s="9" t="s">
        <v>72</v>
      </c>
      <c r="R20" s="8" t="s">
        <v>72</v>
      </c>
      <c r="S20" s="8" t="s">
        <v>72</v>
      </c>
      <c r="T20" s="6">
        <v>150</v>
      </c>
      <c r="U20" s="8">
        <v>1.65</v>
      </c>
      <c r="V20" s="8">
        <v>0.09</v>
      </c>
      <c r="W20" s="6" t="s">
        <v>29</v>
      </c>
      <c r="X20" s="6" t="s">
        <v>72</v>
      </c>
      <c r="Y20" s="6" t="s">
        <v>72</v>
      </c>
      <c r="Z20" s="6" t="s">
        <v>72</v>
      </c>
      <c r="AA20" s="10">
        <f t="shared" si="12"/>
        <v>-3.5087719298245648</v>
      </c>
      <c r="AB20" s="8" t="e">
        <f t="shared" si="13"/>
        <v>#VALUE!</v>
      </c>
      <c r="AC20" s="11">
        <v>0.8</v>
      </c>
      <c r="AD20" s="6">
        <v>8.3000000000000007</v>
      </c>
      <c r="AE20" s="6">
        <f t="shared" si="14"/>
        <v>14.309200000000001</v>
      </c>
      <c r="AF20" s="12"/>
    </row>
    <row r="21" spans="1:33" ht="17.25" x14ac:dyDescent="0.3">
      <c r="A21" s="6">
        <v>19</v>
      </c>
      <c r="B21" s="6">
        <v>7</v>
      </c>
      <c r="C21" s="36" t="s">
        <v>66</v>
      </c>
      <c r="D21" s="38" t="s">
        <v>67</v>
      </c>
      <c r="E21" s="38">
        <v>2021</v>
      </c>
      <c r="F21" s="36" t="s">
        <v>68</v>
      </c>
      <c r="G21" s="36" t="s">
        <v>69</v>
      </c>
      <c r="H21" s="38">
        <v>2016</v>
      </c>
      <c r="I21" s="38" t="s">
        <v>70</v>
      </c>
      <c r="J21" s="38">
        <v>3</v>
      </c>
      <c r="K21" s="38" t="s">
        <v>35</v>
      </c>
      <c r="L21" s="20">
        <v>138</v>
      </c>
      <c r="M21" s="6">
        <v>40</v>
      </c>
      <c r="N21">
        <v>16.3</v>
      </c>
      <c r="O21" s="8" t="s">
        <v>2854</v>
      </c>
      <c r="P21" s="18" t="s">
        <v>71</v>
      </c>
      <c r="Q21" s="9">
        <v>1531</v>
      </c>
      <c r="R21" s="8"/>
      <c r="S21" s="6" t="s">
        <v>36</v>
      </c>
      <c r="T21" s="6">
        <v>40</v>
      </c>
      <c r="U21" s="8">
        <v>14.4</v>
      </c>
      <c r="V21" s="8">
        <v>2.86</v>
      </c>
      <c r="W21" s="18" t="s">
        <v>71</v>
      </c>
      <c r="X21" s="8">
        <v>1547</v>
      </c>
      <c r="Y21" s="8"/>
      <c r="Z21" s="6" t="s">
        <v>36</v>
      </c>
      <c r="AA21" s="10">
        <f t="shared" si="12"/>
        <v>-11.656441717791413</v>
      </c>
      <c r="AB21" s="8">
        <f t="shared" si="13"/>
        <v>1.0450685826257349</v>
      </c>
      <c r="AC21" s="11">
        <v>1.75</v>
      </c>
      <c r="AD21" s="6">
        <v>26.7</v>
      </c>
      <c r="AE21" s="6">
        <f t="shared" si="14"/>
        <v>46.030799999999999</v>
      </c>
      <c r="AF21" s="12"/>
    </row>
    <row r="22" spans="1:33" ht="17.25" x14ac:dyDescent="0.3">
      <c r="A22" s="6">
        <v>20</v>
      </c>
      <c r="B22" s="6">
        <v>7</v>
      </c>
      <c r="C22" s="36"/>
      <c r="D22" s="38"/>
      <c r="E22" s="38"/>
      <c r="F22" s="36"/>
      <c r="G22" s="36"/>
      <c r="H22" s="38"/>
      <c r="I22" s="38"/>
      <c r="J22" s="38"/>
      <c r="K22" s="38"/>
      <c r="L22" s="20">
        <v>275</v>
      </c>
      <c r="M22" s="6">
        <v>80</v>
      </c>
      <c r="N22" s="8">
        <v>36.5</v>
      </c>
      <c r="O22" s="8" t="s">
        <v>2855</v>
      </c>
      <c r="P22" s="18" t="s">
        <v>71</v>
      </c>
      <c r="Q22" s="9">
        <v>1910</v>
      </c>
      <c r="R22" s="8"/>
      <c r="S22" s="6" t="s">
        <v>36</v>
      </c>
      <c r="T22" s="6">
        <v>80</v>
      </c>
      <c r="U22" s="8">
        <v>21.7</v>
      </c>
      <c r="V22" s="8">
        <v>4.32</v>
      </c>
      <c r="W22" s="18" t="s">
        <v>71</v>
      </c>
      <c r="X22" s="8">
        <v>1738</v>
      </c>
      <c r="Y22" s="8"/>
      <c r="Z22" s="6" t="s">
        <v>36</v>
      </c>
      <c r="AA22" s="10">
        <f t="shared" si="12"/>
        <v>-40.547945205479451</v>
      </c>
      <c r="AB22" s="8">
        <f t="shared" si="13"/>
        <v>-9.0052356020942419</v>
      </c>
      <c r="AC22" s="11">
        <v>1.75</v>
      </c>
      <c r="AD22" s="6">
        <v>26.7</v>
      </c>
      <c r="AE22" s="6">
        <f t="shared" si="14"/>
        <v>46.030799999999999</v>
      </c>
      <c r="AF22" s="12"/>
    </row>
    <row r="23" spans="1:33" s="24" customFormat="1" x14ac:dyDescent="0.3">
      <c r="A23" s="6">
        <v>21</v>
      </c>
      <c r="B23" s="6">
        <v>8</v>
      </c>
      <c r="C23" s="40" t="s">
        <v>160</v>
      </c>
      <c r="D23" s="38" t="s">
        <v>73</v>
      </c>
      <c r="E23" s="38">
        <v>2010</v>
      </c>
      <c r="F23" s="40" t="s">
        <v>74</v>
      </c>
      <c r="G23" s="40" t="s">
        <v>75</v>
      </c>
      <c r="H23" s="38">
        <v>2007</v>
      </c>
      <c r="I23" s="38" t="s">
        <v>76</v>
      </c>
      <c r="J23" s="38">
        <v>3</v>
      </c>
      <c r="K23" s="38" t="s">
        <v>35</v>
      </c>
      <c r="L23" s="40">
        <v>516</v>
      </c>
      <c r="M23" s="38">
        <v>150</v>
      </c>
      <c r="N23" s="8">
        <v>0.48</v>
      </c>
      <c r="O23" s="8">
        <v>0.21</v>
      </c>
      <c r="P23" s="6" t="s">
        <v>29</v>
      </c>
      <c r="Q23" s="9" t="s">
        <v>72</v>
      </c>
      <c r="R23" s="9" t="s">
        <v>72</v>
      </c>
      <c r="S23" s="8" t="s">
        <v>72</v>
      </c>
      <c r="T23" s="6">
        <v>150</v>
      </c>
      <c r="U23" s="8">
        <v>0.68</v>
      </c>
      <c r="V23" s="8">
        <v>0.18</v>
      </c>
      <c r="W23" s="6" t="s">
        <v>29</v>
      </c>
      <c r="X23" s="8" t="s">
        <v>72</v>
      </c>
      <c r="Y23" s="8" t="s">
        <v>72</v>
      </c>
      <c r="Z23" s="8" t="s">
        <v>72</v>
      </c>
      <c r="AA23" s="10">
        <f t="shared" si="12"/>
        <v>41.666666666666679</v>
      </c>
      <c r="AB23" s="8" t="e">
        <f t="shared" si="13"/>
        <v>#VALUE!</v>
      </c>
      <c r="AC23" s="11" t="s">
        <v>72</v>
      </c>
      <c r="AD23" s="6">
        <v>20.65</v>
      </c>
      <c r="AE23" s="6">
        <f t="shared" si="14"/>
        <v>35.6006</v>
      </c>
      <c r="AF23" s="26" t="s">
        <v>116</v>
      </c>
    </row>
    <row r="24" spans="1:33" s="24" customFormat="1" x14ac:dyDescent="0.3">
      <c r="A24" s="6">
        <v>22</v>
      </c>
      <c r="B24" s="6">
        <v>8</v>
      </c>
      <c r="C24" s="40"/>
      <c r="D24" s="38"/>
      <c r="E24" s="38"/>
      <c r="F24" s="40"/>
      <c r="G24" s="40"/>
      <c r="H24" s="38"/>
      <c r="I24" s="38"/>
      <c r="J24" s="38"/>
      <c r="K24" s="38"/>
      <c r="L24" s="40"/>
      <c r="M24" s="38"/>
      <c r="N24" s="8">
        <v>1.54</v>
      </c>
      <c r="O24" s="8">
        <v>0.68</v>
      </c>
      <c r="P24" s="6" t="s">
        <v>29</v>
      </c>
      <c r="Q24" s="9" t="s">
        <v>72</v>
      </c>
      <c r="R24" s="9" t="s">
        <v>72</v>
      </c>
      <c r="S24" s="8" t="s">
        <v>72</v>
      </c>
      <c r="T24" s="6">
        <v>150</v>
      </c>
      <c r="U24" s="8">
        <v>0.68</v>
      </c>
      <c r="V24" s="8">
        <v>0.18</v>
      </c>
      <c r="W24" s="6" t="s">
        <v>29</v>
      </c>
      <c r="X24" s="8" t="s">
        <v>72</v>
      </c>
      <c r="Y24" s="8" t="s">
        <v>72</v>
      </c>
      <c r="Z24" s="8" t="s">
        <v>72</v>
      </c>
      <c r="AA24" s="10">
        <f t="shared" si="12"/>
        <v>-55.844155844155843</v>
      </c>
      <c r="AB24" s="8" t="e">
        <f t="shared" si="13"/>
        <v>#VALUE!</v>
      </c>
      <c r="AC24" s="11" t="s">
        <v>72</v>
      </c>
      <c r="AD24" s="6">
        <v>20.65</v>
      </c>
      <c r="AE24" s="6">
        <f t="shared" si="14"/>
        <v>35.6006</v>
      </c>
      <c r="AF24" s="26" t="s">
        <v>116</v>
      </c>
    </row>
    <row r="25" spans="1:33" s="24" customFormat="1" x14ac:dyDescent="0.3">
      <c r="A25" s="6">
        <v>23</v>
      </c>
      <c r="B25" s="6">
        <v>8</v>
      </c>
      <c r="C25" s="40"/>
      <c r="D25" s="38"/>
      <c r="E25" s="38"/>
      <c r="F25" s="40"/>
      <c r="G25" s="40"/>
      <c r="H25" s="38"/>
      <c r="I25" s="38"/>
      <c r="J25" s="38"/>
      <c r="K25" s="38"/>
      <c r="L25" s="40"/>
      <c r="M25" s="38"/>
      <c r="N25" s="8">
        <v>3.7</v>
      </c>
      <c r="O25" s="8">
        <v>0.68</v>
      </c>
      <c r="P25" s="6" t="s">
        <v>29</v>
      </c>
      <c r="Q25" s="9" t="s">
        <v>72</v>
      </c>
      <c r="R25" s="9" t="s">
        <v>72</v>
      </c>
      <c r="S25" s="8" t="s">
        <v>72</v>
      </c>
      <c r="T25" s="6">
        <v>150</v>
      </c>
      <c r="U25" s="8">
        <v>0.68</v>
      </c>
      <c r="V25" s="8">
        <v>0.18</v>
      </c>
      <c r="W25" s="6" t="s">
        <v>29</v>
      </c>
      <c r="X25" s="8" t="s">
        <v>72</v>
      </c>
      <c r="Y25" s="8" t="s">
        <v>72</v>
      </c>
      <c r="Z25" s="8" t="s">
        <v>72</v>
      </c>
      <c r="AA25" s="10">
        <f t="shared" si="12"/>
        <v>-81.621621621621614</v>
      </c>
      <c r="AB25" s="8" t="e">
        <f t="shared" si="13"/>
        <v>#VALUE!</v>
      </c>
      <c r="AC25" s="11" t="s">
        <v>72</v>
      </c>
      <c r="AD25" s="6">
        <v>20.65</v>
      </c>
      <c r="AE25" s="6">
        <f t="shared" si="14"/>
        <v>35.6006</v>
      </c>
      <c r="AF25" s="26" t="s">
        <v>116</v>
      </c>
    </row>
    <row r="26" spans="1:33" s="24" customFormat="1" x14ac:dyDescent="0.3">
      <c r="A26" s="6">
        <v>24</v>
      </c>
      <c r="B26" s="6">
        <v>9</v>
      </c>
      <c r="C26" s="40" t="s">
        <v>120</v>
      </c>
      <c r="D26" s="38" t="s">
        <v>78</v>
      </c>
      <c r="E26" s="38">
        <v>2015</v>
      </c>
      <c r="F26" s="40" t="s">
        <v>79</v>
      </c>
      <c r="G26" s="40" t="s">
        <v>80</v>
      </c>
      <c r="H26" s="38">
        <v>2009</v>
      </c>
      <c r="I26" s="38" t="s">
        <v>81</v>
      </c>
      <c r="J26" s="38">
        <v>4</v>
      </c>
      <c r="K26" s="38" t="s">
        <v>35</v>
      </c>
      <c r="L26" s="40">
        <v>347</v>
      </c>
      <c r="M26" s="38">
        <v>101</v>
      </c>
      <c r="N26" s="8">
        <v>1617</v>
      </c>
      <c r="O26" s="8" t="s">
        <v>72</v>
      </c>
      <c r="P26" s="6" t="s">
        <v>46</v>
      </c>
      <c r="Q26" s="9" t="s">
        <v>72</v>
      </c>
      <c r="R26" s="9" t="s">
        <v>72</v>
      </c>
      <c r="S26" s="8" t="s">
        <v>72</v>
      </c>
      <c r="T26" s="6">
        <v>101</v>
      </c>
      <c r="U26" s="8">
        <v>2228</v>
      </c>
      <c r="V26" s="8" t="s">
        <v>72</v>
      </c>
      <c r="W26" s="6" t="s">
        <v>46</v>
      </c>
      <c r="X26" s="8" t="s">
        <v>72</v>
      </c>
      <c r="Y26" s="8" t="s">
        <v>72</v>
      </c>
      <c r="Z26" s="8" t="s">
        <v>72</v>
      </c>
      <c r="AA26" s="10">
        <f t="shared" ref="AA26:AA53" si="15">(U26-N26)/N26*100</f>
        <v>37.786023500309213</v>
      </c>
      <c r="AB26" s="8" t="e">
        <f t="shared" si="13"/>
        <v>#VALUE!</v>
      </c>
      <c r="AC26" s="11" t="s">
        <v>72</v>
      </c>
      <c r="AD26" s="6" t="s">
        <v>72</v>
      </c>
      <c r="AE26" s="6" t="e">
        <f t="shared" si="14"/>
        <v>#VALUE!</v>
      </c>
      <c r="AF26" s="26"/>
    </row>
    <row r="27" spans="1:33" s="24" customFormat="1" x14ac:dyDescent="0.3">
      <c r="A27" s="6">
        <v>25</v>
      </c>
      <c r="B27" s="6">
        <v>9</v>
      </c>
      <c r="C27" s="40"/>
      <c r="D27" s="38"/>
      <c r="E27" s="38"/>
      <c r="F27" s="40"/>
      <c r="G27" s="40"/>
      <c r="H27" s="38"/>
      <c r="I27" s="38"/>
      <c r="J27" s="38"/>
      <c r="K27" s="38"/>
      <c r="L27" s="40"/>
      <c r="M27" s="38"/>
      <c r="N27" s="8">
        <v>1617</v>
      </c>
      <c r="O27" s="8" t="s">
        <v>72</v>
      </c>
      <c r="P27" s="6" t="s">
        <v>46</v>
      </c>
      <c r="Q27" s="9" t="s">
        <v>72</v>
      </c>
      <c r="R27" s="9" t="s">
        <v>72</v>
      </c>
      <c r="S27" s="8" t="s">
        <v>72</v>
      </c>
      <c r="T27" s="6">
        <v>101</v>
      </c>
      <c r="U27" s="27">
        <v>986.01398601398603</v>
      </c>
      <c r="V27" s="8" t="s">
        <v>72</v>
      </c>
      <c r="W27" s="6" t="s">
        <v>46</v>
      </c>
      <c r="X27" s="8" t="s">
        <v>72</v>
      </c>
      <c r="Y27" s="8" t="s">
        <v>72</v>
      </c>
      <c r="Z27" s="8" t="s">
        <v>72</v>
      </c>
      <c r="AA27" s="10">
        <f t="shared" si="15"/>
        <v>-39.022016944094865</v>
      </c>
      <c r="AB27" s="8" t="e">
        <f t="shared" ref="AB27:AB31" si="16">(X27-Q27)/Q27*100</f>
        <v>#VALUE!</v>
      </c>
      <c r="AC27" s="11" t="s">
        <v>72</v>
      </c>
      <c r="AD27" s="6" t="s">
        <v>72</v>
      </c>
      <c r="AE27" s="6" t="e">
        <f t="shared" ref="AE27:AE31" si="17">AD27*1.724</f>
        <v>#VALUE!</v>
      </c>
      <c r="AF27" s="26"/>
    </row>
    <row r="28" spans="1:33" s="24" customFormat="1" x14ac:dyDescent="0.3">
      <c r="A28" s="6">
        <v>26</v>
      </c>
      <c r="B28" s="6">
        <v>9</v>
      </c>
      <c r="C28" s="40"/>
      <c r="D28" s="38"/>
      <c r="E28" s="38"/>
      <c r="F28" s="40"/>
      <c r="G28" s="40"/>
      <c r="H28" s="38">
        <v>2010</v>
      </c>
      <c r="I28" s="38"/>
      <c r="J28" s="38"/>
      <c r="K28" s="38"/>
      <c r="L28" s="40"/>
      <c r="M28" s="38"/>
      <c r="N28" s="8">
        <v>1313</v>
      </c>
      <c r="O28" s="8" t="s">
        <v>72</v>
      </c>
      <c r="P28" s="6" t="s">
        <v>46</v>
      </c>
      <c r="Q28" s="9" t="s">
        <v>72</v>
      </c>
      <c r="R28" s="9" t="s">
        <v>72</v>
      </c>
      <c r="S28" s="8" t="s">
        <v>72</v>
      </c>
      <c r="T28" s="6">
        <v>101</v>
      </c>
      <c r="U28" s="8">
        <v>1708</v>
      </c>
      <c r="V28" s="8" t="s">
        <v>72</v>
      </c>
      <c r="W28" s="6" t="s">
        <v>46</v>
      </c>
      <c r="X28" s="8" t="s">
        <v>72</v>
      </c>
      <c r="Y28" s="8" t="s">
        <v>72</v>
      </c>
      <c r="Z28" s="8" t="s">
        <v>72</v>
      </c>
      <c r="AA28" s="10">
        <f t="shared" si="15"/>
        <v>30.083777608530081</v>
      </c>
      <c r="AB28" s="8" t="e">
        <f t="shared" si="16"/>
        <v>#VALUE!</v>
      </c>
      <c r="AC28" s="11" t="s">
        <v>72</v>
      </c>
      <c r="AD28" s="6" t="s">
        <v>72</v>
      </c>
      <c r="AE28" s="6" t="e">
        <f t="shared" si="17"/>
        <v>#VALUE!</v>
      </c>
      <c r="AF28" s="26"/>
    </row>
    <row r="29" spans="1:33" s="24" customFormat="1" x14ac:dyDescent="0.3">
      <c r="A29" s="6">
        <v>27</v>
      </c>
      <c r="B29" s="6">
        <v>9</v>
      </c>
      <c r="C29" s="40"/>
      <c r="D29" s="38"/>
      <c r="E29" s="38"/>
      <c r="F29" s="40"/>
      <c r="G29" s="40"/>
      <c r="H29" s="38"/>
      <c r="I29" s="38"/>
      <c r="J29" s="38"/>
      <c r="K29" s="38"/>
      <c r="L29" s="40"/>
      <c r="M29" s="38"/>
      <c r="N29" s="8">
        <v>1313</v>
      </c>
      <c r="O29" s="8" t="s">
        <v>72</v>
      </c>
      <c r="P29" s="6" t="s">
        <v>46</v>
      </c>
      <c r="Q29" s="9" t="s">
        <v>72</v>
      </c>
      <c r="R29" s="9" t="s">
        <v>72</v>
      </c>
      <c r="S29" s="8" t="s">
        <v>72</v>
      </c>
      <c r="T29" s="6">
        <v>101</v>
      </c>
      <c r="U29" s="27">
        <v>1053.9887187751799</v>
      </c>
      <c r="V29" s="8" t="s">
        <v>72</v>
      </c>
      <c r="W29" s="6" t="s">
        <v>46</v>
      </c>
      <c r="X29" s="8" t="s">
        <v>72</v>
      </c>
      <c r="Y29" s="8" t="s">
        <v>72</v>
      </c>
      <c r="Z29" s="8" t="s">
        <v>72</v>
      </c>
      <c r="AA29" s="10">
        <f t="shared" si="15"/>
        <v>-19.72667793029856</v>
      </c>
      <c r="AB29" s="8" t="e">
        <f t="shared" si="16"/>
        <v>#VALUE!</v>
      </c>
      <c r="AC29" s="11" t="s">
        <v>72</v>
      </c>
      <c r="AD29" s="6" t="s">
        <v>72</v>
      </c>
      <c r="AE29" s="6" t="e">
        <f t="shared" si="17"/>
        <v>#VALUE!</v>
      </c>
      <c r="AF29" s="26"/>
    </row>
    <row r="30" spans="1:33" s="24" customFormat="1" x14ac:dyDescent="0.3">
      <c r="A30" s="6">
        <v>28</v>
      </c>
      <c r="B30" s="6">
        <v>9</v>
      </c>
      <c r="C30" s="40"/>
      <c r="D30" s="38"/>
      <c r="E30" s="38"/>
      <c r="F30" s="40"/>
      <c r="G30" s="40"/>
      <c r="H30" s="38">
        <v>2011</v>
      </c>
      <c r="I30" s="38"/>
      <c r="J30" s="38"/>
      <c r="K30" s="38"/>
      <c r="L30" s="40"/>
      <c r="M30" s="38"/>
      <c r="N30" s="8">
        <v>1946</v>
      </c>
      <c r="O30" s="8" t="s">
        <v>72</v>
      </c>
      <c r="P30" s="6" t="s">
        <v>46</v>
      </c>
      <c r="Q30" s="9" t="s">
        <v>72</v>
      </c>
      <c r="R30" s="9" t="s">
        <v>72</v>
      </c>
      <c r="S30" s="8" t="s">
        <v>72</v>
      </c>
      <c r="T30" s="6">
        <v>101</v>
      </c>
      <c r="U30" s="8">
        <v>1806</v>
      </c>
      <c r="V30" s="8" t="s">
        <v>72</v>
      </c>
      <c r="W30" s="6" t="s">
        <v>46</v>
      </c>
      <c r="X30" s="8" t="s">
        <v>72</v>
      </c>
      <c r="Y30" s="8" t="s">
        <v>72</v>
      </c>
      <c r="Z30" s="8" t="s">
        <v>72</v>
      </c>
      <c r="AA30" s="10">
        <f t="shared" si="15"/>
        <v>-7.1942446043165464</v>
      </c>
      <c r="AB30" s="8" t="e">
        <f t="shared" si="16"/>
        <v>#VALUE!</v>
      </c>
      <c r="AC30" s="11" t="s">
        <v>72</v>
      </c>
      <c r="AD30" s="6" t="s">
        <v>72</v>
      </c>
      <c r="AE30" s="6" t="e">
        <f t="shared" si="17"/>
        <v>#VALUE!</v>
      </c>
      <c r="AF30" s="26"/>
    </row>
    <row r="31" spans="1:33" s="24" customFormat="1" x14ac:dyDescent="0.3">
      <c r="A31" s="6">
        <v>29</v>
      </c>
      <c r="B31" s="6">
        <v>9</v>
      </c>
      <c r="C31" s="40"/>
      <c r="D31" s="38"/>
      <c r="E31" s="38"/>
      <c r="F31" s="40"/>
      <c r="G31" s="40"/>
      <c r="H31" s="38"/>
      <c r="I31" s="38"/>
      <c r="J31" s="38"/>
      <c r="K31" s="38"/>
      <c r="L31" s="40"/>
      <c r="M31" s="38"/>
      <c r="N31" s="8">
        <v>1946</v>
      </c>
      <c r="O31" s="8" t="s">
        <v>72</v>
      </c>
      <c r="P31" s="6" t="s">
        <v>46</v>
      </c>
      <c r="Q31" s="9" t="s">
        <v>72</v>
      </c>
      <c r="R31" s="9" t="s">
        <v>72</v>
      </c>
      <c r="S31" s="8" t="s">
        <v>72</v>
      </c>
      <c r="T31" s="6">
        <v>101</v>
      </c>
      <c r="U31" s="27">
        <v>1100.1795084230801</v>
      </c>
      <c r="V31" s="8" t="s">
        <v>72</v>
      </c>
      <c r="W31" s="6" t="s">
        <v>46</v>
      </c>
      <c r="X31" s="8" t="s">
        <v>72</v>
      </c>
      <c r="Y31" s="8" t="s">
        <v>72</v>
      </c>
      <c r="Z31" s="8" t="s">
        <v>72</v>
      </c>
      <c r="AA31" s="10">
        <f t="shared" si="15"/>
        <v>-43.464567912483041</v>
      </c>
      <c r="AB31" s="8" t="e">
        <f t="shared" si="16"/>
        <v>#VALUE!</v>
      </c>
      <c r="AC31" s="11" t="s">
        <v>72</v>
      </c>
      <c r="AD31" s="6" t="s">
        <v>72</v>
      </c>
      <c r="AE31" s="6" t="e">
        <f t="shared" si="17"/>
        <v>#VALUE!</v>
      </c>
      <c r="AF31" s="26"/>
    </row>
    <row r="32" spans="1:33" s="24" customFormat="1" x14ac:dyDescent="0.3">
      <c r="A32" s="6">
        <v>30</v>
      </c>
      <c r="B32" s="6">
        <v>10</v>
      </c>
      <c r="C32" s="24" t="s">
        <v>161</v>
      </c>
      <c r="D32" s="6" t="s">
        <v>82</v>
      </c>
      <c r="E32" s="7">
        <v>2021</v>
      </c>
      <c r="F32" s="24" t="s">
        <v>84</v>
      </c>
      <c r="G32" s="24" t="s">
        <v>85</v>
      </c>
      <c r="H32" s="23">
        <v>2017</v>
      </c>
      <c r="I32" s="6" t="s">
        <v>30</v>
      </c>
      <c r="J32" s="6">
        <v>3</v>
      </c>
      <c r="K32" s="6" t="s">
        <v>83</v>
      </c>
      <c r="L32" s="6" t="s">
        <v>88</v>
      </c>
      <c r="M32" s="6">
        <v>120</v>
      </c>
      <c r="N32" s="8">
        <v>1.1599999999999999</v>
      </c>
      <c r="O32" s="8" t="s">
        <v>72</v>
      </c>
      <c r="P32" s="6" t="s">
        <v>29</v>
      </c>
      <c r="Q32" s="9" t="s">
        <v>72</v>
      </c>
      <c r="R32" s="8" t="s">
        <v>72</v>
      </c>
      <c r="S32" s="8" t="s">
        <v>72</v>
      </c>
      <c r="T32" s="6">
        <v>120</v>
      </c>
      <c r="U32" s="8">
        <v>1.56</v>
      </c>
      <c r="V32" s="8" t="s">
        <v>72</v>
      </c>
      <c r="W32" s="6" t="s">
        <v>29</v>
      </c>
      <c r="X32" s="8" t="s">
        <v>72</v>
      </c>
      <c r="Y32" s="8" t="s">
        <v>72</v>
      </c>
      <c r="Z32" s="8" t="s">
        <v>72</v>
      </c>
      <c r="AA32" s="10">
        <f t="shared" si="15"/>
        <v>34.482758620689665</v>
      </c>
      <c r="AB32" s="8" t="e">
        <f t="shared" ref="AB32:AB63" si="18">(X32-Q32)/Q32*100</f>
        <v>#VALUE!</v>
      </c>
      <c r="AC32" s="11">
        <v>1.64</v>
      </c>
      <c r="AD32" s="13">
        <f>AE32/1.724</f>
        <v>12.006960556844547</v>
      </c>
      <c r="AE32" s="13">
        <v>20.7</v>
      </c>
      <c r="AF32" s="28"/>
    </row>
    <row r="33" spans="1:32" s="24" customFormat="1" x14ac:dyDescent="0.3">
      <c r="A33" s="6">
        <v>31</v>
      </c>
      <c r="B33" s="6">
        <v>11</v>
      </c>
      <c r="C33" s="38" t="s">
        <v>86</v>
      </c>
      <c r="D33" s="38" t="s">
        <v>82</v>
      </c>
      <c r="E33" s="38">
        <v>2018</v>
      </c>
      <c r="F33" s="40" t="s">
        <v>84</v>
      </c>
      <c r="G33" s="40" t="s">
        <v>85</v>
      </c>
      <c r="H33" s="38">
        <v>2017</v>
      </c>
      <c r="I33" s="38" t="s">
        <v>87</v>
      </c>
      <c r="J33" s="38">
        <v>3</v>
      </c>
      <c r="K33" s="38" t="s">
        <v>83</v>
      </c>
      <c r="L33" s="38" t="s">
        <v>88</v>
      </c>
      <c r="M33" s="6"/>
      <c r="N33" s="8">
        <v>232.3</v>
      </c>
      <c r="O33" s="8" t="s">
        <v>72</v>
      </c>
      <c r="P33" s="6" t="s">
        <v>46</v>
      </c>
      <c r="Q33" s="9" t="s">
        <v>72</v>
      </c>
      <c r="R33" s="8" t="s">
        <v>72</v>
      </c>
      <c r="S33" s="8" t="s">
        <v>72</v>
      </c>
      <c r="T33" s="6"/>
      <c r="U33" s="8">
        <v>241.1</v>
      </c>
      <c r="V33" s="8" t="s">
        <v>72</v>
      </c>
      <c r="W33" s="6" t="s">
        <v>46</v>
      </c>
      <c r="X33" s="8" t="s">
        <v>72</v>
      </c>
      <c r="Y33" s="8" t="s">
        <v>72</v>
      </c>
      <c r="Z33" s="8" t="s">
        <v>72</v>
      </c>
      <c r="AA33" s="10">
        <f t="shared" si="15"/>
        <v>3.788204907447259</v>
      </c>
      <c r="AB33" s="8" t="e">
        <f t="shared" si="18"/>
        <v>#VALUE!</v>
      </c>
      <c r="AC33" s="11">
        <v>1.64</v>
      </c>
      <c r="AD33" s="13">
        <f>AE33/1.724</f>
        <v>12.006960556844547</v>
      </c>
      <c r="AE33" s="13">
        <v>20.7</v>
      </c>
      <c r="AF33" s="26"/>
    </row>
    <row r="34" spans="1:32" s="24" customFormat="1" x14ac:dyDescent="0.3">
      <c r="A34" s="6">
        <v>32</v>
      </c>
      <c r="B34" s="6">
        <v>11</v>
      </c>
      <c r="C34" s="38"/>
      <c r="D34" s="38"/>
      <c r="E34" s="38"/>
      <c r="F34" s="40"/>
      <c r="G34" s="40"/>
      <c r="H34" s="38"/>
      <c r="I34" s="38"/>
      <c r="J34" s="38"/>
      <c r="K34" s="38"/>
      <c r="L34" s="38"/>
      <c r="M34" s="6"/>
      <c r="N34" s="8">
        <v>243.8</v>
      </c>
      <c r="O34" s="8" t="s">
        <v>72</v>
      </c>
      <c r="P34" s="6" t="s">
        <v>46</v>
      </c>
      <c r="Q34" s="9" t="s">
        <v>72</v>
      </c>
      <c r="R34" s="9" t="s">
        <v>72</v>
      </c>
      <c r="S34" s="8" t="s">
        <v>72</v>
      </c>
      <c r="U34" s="8">
        <v>241</v>
      </c>
      <c r="V34" s="8" t="s">
        <v>72</v>
      </c>
      <c r="W34" s="6" t="s">
        <v>46</v>
      </c>
      <c r="X34" s="8" t="s">
        <v>72</v>
      </c>
      <c r="Y34" s="8" t="s">
        <v>72</v>
      </c>
      <c r="Z34" s="8" t="s">
        <v>72</v>
      </c>
      <c r="AA34" s="10">
        <f t="shared" si="15"/>
        <v>-1.1484823625922933</v>
      </c>
      <c r="AB34" s="8" t="e">
        <f t="shared" si="18"/>
        <v>#VALUE!</v>
      </c>
      <c r="AC34" s="11">
        <v>2.64</v>
      </c>
      <c r="AD34" s="13">
        <f t="shared" ref="AD34" si="19">AE34/1.724</f>
        <v>12.006960556844547</v>
      </c>
      <c r="AE34" s="13">
        <v>20.7</v>
      </c>
    </row>
    <row r="35" spans="1:32" x14ac:dyDescent="0.3">
      <c r="A35" s="6">
        <v>33</v>
      </c>
      <c r="B35" s="6">
        <v>12</v>
      </c>
      <c r="C35" s="19" t="s">
        <v>89</v>
      </c>
      <c r="D35" s="7" t="s">
        <v>90</v>
      </c>
      <c r="E35" s="16">
        <v>1998</v>
      </c>
      <c r="F35" t="s">
        <v>121</v>
      </c>
      <c r="G35" s="6" t="s">
        <v>122</v>
      </c>
      <c r="H35" s="23">
        <v>1996</v>
      </c>
      <c r="I35" s="6" t="s">
        <v>87</v>
      </c>
      <c r="J35" s="6">
        <v>4</v>
      </c>
      <c r="K35" s="6" t="s">
        <v>35</v>
      </c>
      <c r="L35" s="22">
        <v>550.4</v>
      </c>
      <c r="M35" s="6">
        <v>160</v>
      </c>
      <c r="N35" s="8">
        <v>14.1</v>
      </c>
      <c r="O35" s="8" t="s">
        <v>72</v>
      </c>
      <c r="P35" s="6" t="s">
        <v>91</v>
      </c>
      <c r="Q35" s="9" t="s">
        <v>72</v>
      </c>
      <c r="R35" s="8" t="s">
        <v>72</v>
      </c>
      <c r="S35" s="8" t="s">
        <v>72</v>
      </c>
      <c r="T35" s="6">
        <v>160</v>
      </c>
      <c r="U35" s="8">
        <v>26.9</v>
      </c>
      <c r="V35" s="8" t="s">
        <v>72</v>
      </c>
      <c r="W35" s="6" t="s">
        <v>91</v>
      </c>
      <c r="X35" s="8" t="s">
        <v>72</v>
      </c>
      <c r="Y35" s="8" t="s">
        <v>72</v>
      </c>
      <c r="Z35" s="8" t="s">
        <v>72</v>
      </c>
      <c r="AA35" s="10">
        <f t="shared" si="15"/>
        <v>90.780141843971634</v>
      </c>
      <c r="AB35" s="8" t="e">
        <f t="shared" si="18"/>
        <v>#VALUE!</v>
      </c>
      <c r="AC35" s="11" t="s">
        <v>72</v>
      </c>
      <c r="AD35" s="6" t="s">
        <v>72</v>
      </c>
      <c r="AE35" s="13" t="e">
        <f t="shared" ref="AE35:AE41" si="20">AD35*1.724</f>
        <v>#VALUE!</v>
      </c>
      <c r="AF35" s="12"/>
    </row>
    <row r="36" spans="1:32" x14ac:dyDescent="0.3">
      <c r="A36" s="6">
        <v>34</v>
      </c>
      <c r="B36" s="6">
        <v>13</v>
      </c>
      <c r="C36" s="36" t="s">
        <v>92</v>
      </c>
      <c r="D36" s="38" t="s">
        <v>93</v>
      </c>
      <c r="E36" s="38">
        <v>2014</v>
      </c>
      <c r="F36" t="s">
        <v>94</v>
      </c>
      <c r="G36" t="s">
        <v>95</v>
      </c>
      <c r="H36" s="23">
        <v>2011</v>
      </c>
      <c r="I36" s="38" t="s">
        <v>87</v>
      </c>
      <c r="J36" s="38">
        <v>3</v>
      </c>
      <c r="K36" s="38" t="s">
        <v>35</v>
      </c>
      <c r="L36" s="39">
        <v>756.8</v>
      </c>
      <c r="M36" s="38">
        <v>220</v>
      </c>
      <c r="N36" s="12">
        <v>521.00313479623799</v>
      </c>
      <c r="O36" s="8" t="s">
        <v>72</v>
      </c>
      <c r="P36" s="6" t="s">
        <v>46</v>
      </c>
      <c r="Q36" s="13">
        <v>10.199999999999999</v>
      </c>
      <c r="R36" s="8" t="s">
        <v>72</v>
      </c>
      <c r="S36" s="6" t="s">
        <v>47</v>
      </c>
      <c r="T36" s="6">
        <v>220</v>
      </c>
      <c r="U36" s="12">
        <v>367.39811912225701</v>
      </c>
      <c r="V36" s="8" t="s">
        <v>72</v>
      </c>
      <c r="W36" s="6" t="s">
        <v>46</v>
      </c>
      <c r="X36" s="8">
        <v>11.2</v>
      </c>
      <c r="Y36" s="8" t="s">
        <v>72</v>
      </c>
      <c r="Z36" s="6" t="s">
        <v>47</v>
      </c>
      <c r="AA36" s="10">
        <f t="shared" si="15"/>
        <v>-29.482551143200936</v>
      </c>
      <c r="AB36" s="8">
        <f t="shared" si="18"/>
        <v>9.8039215686274517</v>
      </c>
      <c r="AC36" s="11">
        <v>1.5</v>
      </c>
      <c r="AD36" s="6">
        <v>18.2</v>
      </c>
      <c r="AE36" s="13">
        <f t="shared" si="20"/>
        <v>31.376799999999999</v>
      </c>
      <c r="AF36" s="12"/>
    </row>
    <row r="37" spans="1:32" x14ac:dyDescent="0.3">
      <c r="A37" s="6">
        <v>35</v>
      </c>
      <c r="B37" s="6">
        <v>13</v>
      </c>
      <c r="C37" s="36"/>
      <c r="D37" s="38"/>
      <c r="E37" s="38"/>
      <c r="F37" t="s">
        <v>96</v>
      </c>
      <c r="G37" t="s">
        <v>97</v>
      </c>
      <c r="H37" s="23">
        <v>2011</v>
      </c>
      <c r="I37" s="38"/>
      <c r="J37" s="38"/>
      <c r="K37" s="38"/>
      <c r="L37" s="39"/>
      <c r="M37" s="38"/>
      <c r="N37" s="12">
        <v>616.87022900763304</v>
      </c>
      <c r="O37" s="8" t="s">
        <v>72</v>
      </c>
      <c r="P37" s="6" t="s">
        <v>46</v>
      </c>
      <c r="Q37" s="13">
        <v>8.6999999999999993</v>
      </c>
      <c r="R37" s="8" t="s">
        <v>72</v>
      </c>
      <c r="S37" s="6" t="s">
        <v>47</v>
      </c>
      <c r="T37" s="6">
        <v>220</v>
      </c>
      <c r="U37" s="12">
        <v>553.66412213740398</v>
      </c>
      <c r="V37" s="8" t="s">
        <v>72</v>
      </c>
      <c r="W37" s="6" t="s">
        <v>46</v>
      </c>
      <c r="X37" s="8">
        <v>7.8</v>
      </c>
      <c r="Y37" s="8" t="s">
        <v>72</v>
      </c>
      <c r="Z37" s="6" t="s">
        <v>47</v>
      </c>
      <c r="AA37" s="10">
        <f t="shared" si="15"/>
        <v>-10.246256651404547</v>
      </c>
      <c r="AB37" s="8">
        <f t="shared" si="18"/>
        <v>-10.344827586206891</v>
      </c>
      <c r="AC37" s="11">
        <v>1.6</v>
      </c>
      <c r="AD37" s="6">
        <v>14.8</v>
      </c>
      <c r="AE37" s="13">
        <f t="shared" si="20"/>
        <v>25.5152</v>
      </c>
      <c r="AF37" s="12"/>
    </row>
    <row r="38" spans="1:32" x14ac:dyDescent="0.3">
      <c r="A38" s="6">
        <v>36</v>
      </c>
      <c r="B38" s="6">
        <v>13</v>
      </c>
      <c r="C38" s="36"/>
      <c r="D38" s="38"/>
      <c r="E38" s="38"/>
      <c r="F38" t="s">
        <v>98</v>
      </c>
      <c r="G38" t="s">
        <v>99</v>
      </c>
      <c r="H38" s="23">
        <v>2012</v>
      </c>
      <c r="I38" s="38"/>
      <c r="J38" s="38"/>
      <c r="K38" s="38"/>
      <c r="L38" s="39"/>
      <c r="M38" s="38"/>
      <c r="N38" s="12">
        <v>394.46133063154298</v>
      </c>
      <c r="O38" s="8" t="s">
        <v>72</v>
      </c>
      <c r="P38" s="6" t="s">
        <v>46</v>
      </c>
      <c r="Q38" s="13">
        <v>9</v>
      </c>
      <c r="R38" s="8" t="s">
        <v>72</v>
      </c>
      <c r="S38" s="6" t="s">
        <v>47</v>
      </c>
      <c r="T38" s="6">
        <v>220</v>
      </c>
      <c r="U38" s="12">
        <v>460.99290780141803</v>
      </c>
      <c r="V38" s="8" t="s">
        <v>72</v>
      </c>
      <c r="W38" s="6" t="s">
        <v>46</v>
      </c>
      <c r="X38" s="8">
        <v>9.1</v>
      </c>
      <c r="Y38" s="8" t="s">
        <v>72</v>
      </c>
      <c r="Z38" s="6" t="s">
        <v>47</v>
      </c>
      <c r="AA38" s="10">
        <f t="shared" si="15"/>
        <v>16.866438356164405</v>
      </c>
      <c r="AB38" s="8">
        <f t="shared" si="18"/>
        <v>1.1111111111111072</v>
      </c>
      <c r="AC38" s="11">
        <v>1.8</v>
      </c>
      <c r="AD38" s="6">
        <v>19</v>
      </c>
      <c r="AE38" s="13">
        <f t="shared" si="20"/>
        <v>32.756</v>
      </c>
      <c r="AF38" s="12"/>
    </row>
    <row r="39" spans="1:32" x14ac:dyDescent="0.3">
      <c r="A39" s="6">
        <v>37</v>
      </c>
      <c r="B39" s="6">
        <v>14</v>
      </c>
      <c r="C39" s="19" t="s">
        <v>100</v>
      </c>
      <c r="D39" s="29" t="s">
        <v>101</v>
      </c>
      <c r="E39" s="7">
        <v>2024</v>
      </c>
      <c r="F39" t="s">
        <v>103</v>
      </c>
      <c r="G39" t="s">
        <v>102</v>
      </c>
      <c r="H39" s="23" t="s">
        <v>104</v>
      </c>
      <c r="I39" s="6" t="s">
        <v>77</v>
      </c>
      <c r="J39" s="6">
        <v>4</v>
      </c>
      <c r="K39" s="6" t="s">
        <v>35</v>
      </c>
      <c r="L39" s="22">
        <v>516</v>
      </c>
      <c r="M39" s="6">
        <v>150</v>
      </c>
      <c r="N39" s="8">
        <v>36.85</v>
      </c>
      <c r="O39" s="8">
        <v>0.35</v>
      </c>
      <c r="P39" s="6" t="s">
        <v>29</v>
      </c>
      <c r="Q39" s="9">
        <v>4.0999999999999996</v>
      </c>
      <c r="R39" s="8">
        <v>0.03</v>
      </c>
      <c r="S39" s="6" t="s">
        <v>47</v>
      </c>
      <c r="T39" s="6">
        <v>150</v>
      </c>
      <c r="U39" s="8">
        <v>33.22</v>
      </c>
      <c r="V39" s="8">
        <v>0.33</v>
      </c>
      <c r="W39" s="6" t="s">
        <v>29</v>
      </c>
      <c r="X39" s="8">
        <v>3.88</v>
      </c>
      <c r="Y39" s="8">
        <v>0.05</v>
      </c>
      <c r="Z39" s="6" t="s">
        <v>47</v>
      </c>
      <c r="AA39" s="10">
        <f t="shared" si="15"/>
        <v>-9.8507462686567226</v>
      </c>
      <c r="AB39" s="8">
        <f t="shared" si="18"/>
        <v>-5.3658536585365795</v>
      </c>
      <c r="AC39" s="11">
        <v>0.92</v>
      </c>
      <c r="AD39" s="6">
        <v>11.4</v>
      </c>
      <c r="AE39" s="13">
        <f t="shared" si="20"/>
        <v>19.653600000000001</v>
      </c>
      <c r="AF39" s="12"/>
    </row>
    <row r="40" spans="1:32" x14ac:dyDescent="0.3">
      <c r="A40" s="6">
        <v>38</v>
      </c>
      <c r="B40" s="6">
        <v>15</v>
      </c>
      <c r="C40" s="19" t="s">
        <v>105</v>
      </c>
      <c r="D40" s="7" t="s">
        <v>106</v>
      </c>
      <c r="E40" s="7">
        <v>2022</v>
      </c>
      <c r="F40" t="s">
        <v>107</v>
      </c>
      <c r="G40" t="s">
        <v>108</v>
      </c>
      <c r="H40" s="23" t="s">
        <v>109</v>
      </c>
      <c r="I40" s="6" t="s">
        <v>110</v>
      </c>
      <c r="J40" s="6">
        <v>4</v>
      </c>
      <c r="K40" s="6" t="s">
        <v>111</v>
      </c>
      <c r="L40" s="6" t="s">
        <v>113</v>
      </c>
      <c r="M40" s="6">
        <v>0</v>
      </c>
      <c r="N40" s="17">
        <v>0.69180087847730598</v>
      </c>
      <c r="O40" t="s">
        <v>72</v>
      </c>
      <c r="P40" s="6" t="s">
        <v>29</v>
      </c>
      <c r="Q40" s="9" t="s">
        <v>72</v>
      </c>
      <c r="R40" s="8" t="s">
        <v>72</v>
      </c>
      <c r="S40" s="6" t="s">
        <v>72</v>
      </c>
      <c r="T40" s="6">
        <v>0</v>
      </c>
      <c r="U40" s="17">
        <v>0.65592972181551901</v>
      </c>
      <c r="V40" s="8" t="s">
        <v>72</v>
      </c>
      <c r="W40" s="6" t="s">
        <v>29</v>
      </c>
      <c r="X40" s="8" t="s">
        <v>72</v>
      </c>
      <c r="Y40" s="8" t="s">
        <v>72</v>
      </c>
      <c r="Z40" s="6" t="s">
        <v>72</v>
      </c>
      <c r="AA40" s="10">
        <f t="shared" si="15"/>
        <v>-5.1851851851852917</v>
      </c>
      <c r="AB40" s="8" t="e">
        <f t="shared" si="18"/>
        <v>#VALUE!</v>
      </c>
      <c r="AC40" s="11">
        <v>0.75288079239619798</v>
      </c>
      <c r="AD40" s="17">
        <v>8.5930561368871299</v>
      </c>
      <c r="AE40" s="13">
        <f t="shared" si="20"/>
        <v>14.814428779993412</v>
      </c>
      <c r="AF40" s="12" t="s">
        <v>117</v>
      </c>
    </row>
    <row r="41" spans="1:32" x14ac:dyDescent="0.3">
      <c r="A41" s="6">
        <v>39</v>
      </c>
      <c r="B41" s="6">
        <v>16</v>
      </c>
      <c r="C41" s="42" t="s">
        <v>150</v>
      </c>
      <c r="D41" s="36" t="s">
        <v>124</v>
      </c>
      <c r="E41" s="36">
        <v>2023</v>
      </c>
      <c r="F41" s="36" t="s">
        <v>151</v>
      </c>
      <c r="G41" s="36" t="s">
        <v>152</v>
      </c>
      <c r="H41" s="6">
        <v>2012</v>
      </c>
      <c r="I41" s="6" t="s">
        <v>157</v>
      </c>
      <c r="J41" s="38">
        <v>4</v>
      </c>
      <c r="K41" s="38" t="s">
        <v>111</v>
      </c>
      <c r="L41" s="39" t="s">
        <v>158</v>
      </c>
      <c r="M41" s="9" t="s">
        <v>72</v>
      </c>
      <c r="N41" s="12">
        <v>318.60000000000002</v>
      </c>
      <c r="O41" t="s">
        <v>72</v>
      </c>
      <c r="P41" s="6" t="s">
        <v>46</v>
      </c>
      <c r="Q41" s="8" t="s">
        <v>72</v>
      </c>
      <c r="R41" s="8" t="s">
        <v>72</v>
      </c>
      <c r="S41" s="6" t="s">
        <v>72</v>
      </c>
      <c r="T41" s="9" t="s">
        <v>72</v>
      </c>
      <c r="U41" s="12">
        <v>374</v>
      </c>
      <c r="W41" s="6" t="s">
        <v>46</v>
      </c>
      <c r="X41" s="8" t="s">
        <v>72</v>
      </c>
      <c r="Y41" s="8" t="s">
        <v>72</v>
      </c>
      <c r="Z41" s="8" t="s">
        <v>72</v>
      </c>
      <c r="AA41" s="10">
        <f t="shared" si="15"/>
        <v>17.388575015693654</v>
      </c>
      <c r="AB41" s="8" t="e">
        <f t="shared" si="18"/>
        <v>#VALUE!</v>
      </c>
      <c r="AC41" s="11">
        <v>0.32</v>
      </c>
      <c r="AD41" s="6">
        <v>3.9</v>
      </c>
      <c r="AE41" s="13">
        <f t="shared" si="20"/>
        <v>6.7235999999999994</v>
      </c>
    </row>
    <row r="42" spans="1:32" x14ac:dyDescent="0.3">
      <c r="A42" s="6">
        <v>40</v>
      </c>
      <c r="B42" s="6">
        <v>16</v>
      </c>
      <c r="C42" s="42"/>
      <c r="D42" s="36"/>
      <c r="E42" s="36"/>
      <c r="F42" s="36"/>
      <c r="G42" s="36"/>
      <c r="H42" s="38">
        <v>2013</v>
      </c>
      <c r="I42" s="6" t="s">
        <v>157</v>
      </c>
      <c r="J42" s="38"/>
      <c r="K42" s="38"/>
      <c r="L42" s="39"/>
      <c r="M42" s="8" t="s">
        <v>72</v>
      </c>
      <c r="N42" s="12">
        <v>343.2</v>
      </c>
      <c r="O42" t="s">
        <v>72</v>
      </c>
      <c r="P42" s="6" t="s">
        <v>46</v>
      </c>
      <c r="Q42" s="8" t="s">
        <v>72</v>
      </c>
      <c r="R42" s="8" t="s">
        <v>72</v>
      </c>
      <c r="S42" s="8" t="s">
        <v>72</v>
      </c>
      <c r="T42" s="8" t="s">
        <v>72</v>
      </c>
      <c r="U42" s="12">
        <v>317.3</v>
      </c>
      <c r="W42" s="6" t="s">
        <v>46</v>
      </c>
      <c r="X42" s="8" t="s">
        <v>72</v>
      </c>
      <c r="Y42" s="8" t="s">
        <v>72</v>
      </c>
      <c r="Z42" s="8" t="s">
        <v>72</v>
      </c>
      <c r="AA42" s="10">
        <f t="shared" si="15"/>
        <v>-7.546620046620041</v>
      </c>
      <c r="AB42" s="8" t="e">
        <f t="shared" si="18"/>
        <v>#VALUE!</v>
      </c>
      <c r="AC42" s="11">
        <v>0.32</v>
      </c>
      <c r="AD42" s="6">
        <v>3.9</v>
      </c>
      <c r="AE42" s="13">
        <f>AD42*1.724</f>
        <v>6.7235999999999994</v>
      </c>
    </row>
    <row r="43" spans="1:32" x14ac:dyDescent="0.3">
      <c r="A43" s="6">
        <v>41</v>
      </c>
      <c r="B43" s="6">
        <v>16</v>
      </c>
      <c r="C43" s="42"/>
      <c r="D43" s="36"/>
      <c r="E43" s="36"/>
      <c r="F43" s="36"/>
      <c r="G43" s="36"/>
      <c r="H43" s="38"/>
      <c r="I43" s="6" t="s">
        <v>125</v>
      </c>
      <c r="J43" s="38"/>
      <c r="K43" s="38"/>
      <c r="L43" s="39"/>
      <c r="M43" s="8" t="s">
        <v>72</v>
      </c>
      <c r="N43" s="12">
        <v>492.1</v>
      </c>
      <c r="O43" t="s">
        <v>72</v>
      </c>
      <c r="P43" s="6" t="s">
        <v>46</v>
      </c>
      <c r="Q43" s="8" t="s">
        <v>72</v>
      </c>
      <c r="R43" s="8" t="s">
        <v>72</v>
      </c>
      <c r="S43" s="8" t="s">
        <v>72</v>
      </c>
      <c r="T43" s="8" t="s">
        <v>72</v>
      </c>
      <c r="U43" s="12">
        <v>498.7</v>
      </c>
      <c r="W43" s="6" t="s">
        <v>46</v>
      </c>
      <c r="X43" s="8" t="s">
        <v>72</v>
      </c>
      <c r="Y43" s="8" t="s">
        <v>72</v>
      </c>
      <c r="Z43" s="8" t="s">
        <v>72</v>
      </c>
      <c r="AA43" s="10">
        <f t="shared" si="15"/>
        <v>1.3411908148750185</v>
      </c>
      <c r="AB43" s="8" t="e">
        <f t="shared" si="18"/>
        <v>#VALUE!</v>
      </c>
      <c r="AC43" s="11">
        <v>0.32</v>
      </c>
      <c r="AD43" s="6">
        <v>3.9</v>
      </c>
      <c r="AE43" s="13">
        <f>AD43*1.724</f>
        <v>6.7235999999999994</v>
      </c>
    </row>
    <row r="44" spans="1:32" x14ac:dyDescent="0.3">
      <c r="A44" s="6">
        <v>42</v>
      </c>
      <c r="B44" s="6">
        <v>16</v>
      </c>
      <c r="C44" s="42"/>
      <c r="D44" s="36"/>
      <c r="E44" s="36"/>
      <c r="F44" s="36"/>
      <c r="G44" s="36"/>
      <c r="H44" s="38">
        <v>2014</v>
      </c>
      <c r="I44" s="6" t="s">
        <v>157</v>
      </c>
      <c r="J44" s="38"/>
      <c r="K44" s="38"/>
      <c r="L44" s="39"/>
      <c r="M44" s="8" t="s">
        <v>72</v>
      </c>
      <c r="N44" s="12">
        <v>621.1</v>
      </c>
      <c r="O44" t="s">
        <v>72</v>
      </c>
      <c r="P44" s="6" t="s">
        <v>46</v>
      </c>
      <c r="Q44" s="8" t="s">
        <v>72</v>
      </c>
      <c r="R44" s="8" t="s">
        <v>72</v>
      </c>
      <c r="S44" s="8" t="s">
        <v>72</v>
      </c>
      <c r="T44" s="8" t="s">
        <v>72</v>
      </c>
      <c r="U44" s="12">
        <v>527.20000000000005</v>
      </c>
      <c r="W44" s="6" t="s">
        <v>46</v>
      </c>
      <c r="X44" s="8" t="s">
        <v>72</v>
      </c>
      <c r="Y44" s="8" t="s">
        <v>72</v>
      </c>
      <c r="Z44" s="8" t="s">
        <v>72</v>
      </c>
      <c r="AA44" s="10">
        <f t="shared" si="15"/>
        <v>-15.118338431814518</v>
      </c>
      <c r="AB44" s="8" t="e">
        <f t="shared" si="18"/>
        <v>#VALUE!</v>
      </c>
      <c r="AC44" s="11">
        <v>0.32</v>
      </c>
      <c r="AD44" s="6">
        <v>3.9</v>
      </c>
      <c r="AE44" s="13">
        <f>AD44*1.724</f>
        <v>6.7235999999999994</v>
      </c>
    </row>
    <row r="45" spans="1:32" x14ac:dyDescent="0.3">
      <c r="A45" s="6">
        <v>43</v>
      </c>
      <c r="B45" s="6">
        <v>16</v>
      </c>
      <c r="C45" s="42"/>
      <c r="D45" s="36"/>
      <c r="E45" s="36"/>
      <c r="F45" s="36"/>
      <c r="G45" s="36"/>
      <c r="H45" s="38"/>
      <c r="I45" s="6" t="s">
        <v>125</v>
      </c>
      <c r="J45" s="38"/>
      <c r="K45" s="38"/>
      <c r="L45" s="39"/>
      <c r="M45" s="8" t="s">
        <v>72</v>
      </c>
      <c r="N45" s="12">
        <v>509.3</v>
      </c>
      <c r="O45" s="8" t="s">
        <v>72</v>
      </c>
      <c r="P45" s="6" t="s">
        <v>46</v>
      </c>
      <c r="Q45" s="8" t="s">
        <v>72</v>
      </c>
      <c r="R45" s="8" t="s">
        <v>72</v>
      </c>
      <c r="S45" s="8" t="s">
        <v>72</v>
      </c>
      <c r="T45" s="8" t="s">
        <v>72</v>
      </c>
      <c r="U45" s="12">
        <v>611.29999999999995</v>
      </c>
      <c r="W45" s="6" t="s">
        <v>46</v>
      </c>
      <c r="X45" s="8" t="s">
        <v>72</v>
      </c>
      <c r="Y45" s="8" t="s">
        <v>72</v>
      </c>
      <c r="Z45" s="8" t="s">
        <v>72</v>
      </c>
      <c r="AA45" s="10">
        <f t="shared" si="15"/>
        <v>20.027488709994099</v>
      </c>
      <c r="AB45" s="8" t="e">
        <f t="shared" si="18"/>
        <v>#VALUE!</v>
      </c>
      <c r="AC45" s="11">
        <v>0.32</v>
      </c>
      <c r="AD45" s="6">
        <v>3.9</v>
      </c>
      <c r="AE45" s="13">
        <f t="shared" ref="AE45" si="21">AD45*1.724</f>
        <v>6.7235999999999994</v>
      </c>
    </row>
    <row r="46" spans="1:32" x14ac:dyDescent="0.3">
      <c r="A46" s="6">
        <v>44</v>
      </c>
      <c r="B46" s="6">
        <v>16</v>
      </c>
      <c r="C46" s="42"/>
      <c r="D46" s="36"/>
      <c r="E46" s="36"/>
      <c r="F46" s="36"/>
      <c r="G46" s="36"/>
      <c r="H46" s="38">
        <v>2015</v>
      </c>
      <c r="I46" s="6" t="s">
        <v>157</v>
      </c>
      <c r="J46" s="38"/>
      <c r="K46" s="38"/>
      <c r="L46" s="39"/>
      <c r="M46" s="8" t="s">
        <v>72</v>
      </c>
      <c r="N46" s="12">
        <v>200.3</v>
      </c>
      <c r="O46" t="s">
        <v>72</v>
      </c>
      <c r="P46" s="6" t="s">
        <v>46</v>
      </c>
      <c r="Q46" s="8" t="s">
        <v>72</v>
      </c>
      <c r="R46" s="8" t="s">
        <v>72</v>
      </c>
      <c r="S46" s="8" t="s">
        <v>72</v>
      </c>
      <c r="T46" s="8" t="s">
        <v>72</v>
      </c>
      <c r="U46" s="12">
        <v>243.9</v>
      </c>
      <c r="W46" s="6" t="s">
        <v>46</v>
      </c>
      <c r="X46" s="8" t="s">
        <v>72</v>
      </c>
      <c r="Y46" s="8" t="s">
        <v>72</v>
      </c>
      <c r="Z46" s="8" t="s">
        <v>72</v>
      </c>
      <c r="AA46" s="10">
        <f t="shared" si="15"/>
        <v>21.767348976535192</v>
      </c>
      <c r="AB46" s="8" t="e">
        <f t="shared" si="18"/>
        <v>#VALUE!</v>
      </c>
      <c r="AC46" s="11">
        <v>0.32</v>
      </c>
      <c r="AD46" s="6">
        <v>3.9</v>
      </c>
      <c r="AE46" s="13">
        <f t="shared" ref="AE46:AE63" si="22">AD46*1.724</f>
        <v>6.7235999999999994</v>
      </c>
    </row>
    <row r="47" spans="1:32" x14ac:dyDescent="0.3">
      <c r="A47" s="6">
        <v>45</v>
      </c>
      <c r="B47" s="6">
        <v>16</v>
      </c>
      <c r="C47" s="42"/>
      <c r="D47" s="36"/>
      <c r="E47" s="36"/>
      <c r="F47" s="36"/>
      <c r="G47" s="36"/>
      <c r="H47" s="38"/>
      <c r="I47" s="6" t="s">
        <v>125</v>
      </c>
      <c r="J47" s="38"/>
      <c r="K47" s="38"/>
      <c r="L47" s="39"/>
      <c r="M47" s="8" t="s">
        <v>72</v>
      </c>
      <c r="N47" s="12">
        <v>301</v>
      </c>
      <c r="O47" t="s">
        <v>72</v>
      </c>
      <c r="P47" s="6" t="s">
        <v>46</v>
      </c>
      <c r="Q47" s="8" t="s">
        <v>72</v>
      </c>
      <c r="R47" s="8" t="s">
        <v>72</v>
      </c>
      <c r="S47" s="8" t="s">
        <v>72</v>
      </c>
      <c r="T47" s="8" t="s">
        <v>72</v>
      </c>
      <c r="U47" s="12">
        <v>344.3</v>
      </c>
      <c r="W47" s="6" t="s">
        <v>46</v>
      </c>
      <c r="X47" s="8" t="s">
        <v>72</v>
      </c>
      <c r="Y47" s="8" t="s">
        <v>72</v>
      </c>
      <c r="Z47" s="8" t="s">
        <v>72</v>
      </c>
      <c r="AA47" s="10">
        <f t="shared" si="15"/>
        <v>14.385382059800669</v>
      </c>
      <c r="AB47" s="8" t="e">
        <f t="shared" si="18"/>
        <v>#VALUE!</v>
      </c>
      <c r="AC47" s="11">
        <v>0.32</v>
      </c>
      <c r="AD47" s="6">
        <v>3.9</v>
      </c>
      <c r="AE47" s="13">
        <f t="shared" si="22"/>
        <v>6.7235999999999994</v>
      </c>
    </row>
    <row r="48" spans="1:32" x14ac:dyDescent="0.3">
      <c r="A48" s="6">
        <v>46</v>
      </c>
      <c r="B48" s="6">
        <v>16</v>
      </c>
      <c r="C48" s="42"/>
      <c r="D48" s="36"/>
      <c r="E48" s="36"/>
      <c r="F48" s="36"/>
      <c r="G48" s="36"/>
      <c r="H48" s="38">
        <v>2016</v>
      </c>
      <c r="I48" s="6" t="s">
        <v>157</v>
      </c>
      <c r="J48" s="38"/>
      <c r="K48" s="38"/>
      <c r="L48" s="39"/>
      <c r="M48" s="8" t="s">
        <v>72</v>
      </c>
      <c r="N48" s="12">
        <v>316.8</v>
      </c>
      <c r="O48" t="s">
        <v>72</v>
      </c>
      <c r="P48" s="6" t="s">
        <v>46</v>
      </c>
      <c r="Q48" s="8" t="s">
        <v>72</v>
      </c>
      <c r="R48" s="8" t="s">
        <v>72</v>
      </c>
      <c r="S48" s="8" t="s">
        <v>72</v>
      </c>
      <c r="T48" s="8" t="s">
        <v>72</v>
      </c>
      <c r="U48" s="12">
        <v>275.8</v>
      </c>
      <c r="W48" s="6" t="s">
        <v>46</v>
      </c>
      <c r="X48" s="8" t="s">
        <v>72</v>
      </c>
      <c r="Y48" s="8" t="s">
        <v>72</v>
      </c>
      <c r="Z48" s="8" t="s">
        <v>72</v>
      </c>
      <c r="AA48" s="10">
        <f t="shared" si="15"/>
        <v>-12.94191919191919</v>
      </c>
      <c r="AB48" s="8" t="e">
        <f t="shared" si="18"/>
        <v>#VALUE!</v>
      </c>
      <c r="AC48" s="11">
        <v>0.32</v>
      </c>
      <c r="AD48" s="6">
        <v>3.9</v>
      </c>
      <c r="AE48" s="13">
        <f t="shared" si="22"/>
        <v>6.7235999999999994</v>
      </c>
    </row>
    <row r="49" spans="1:33" x14ac:dyDescent="0.3">
      <c r="A49" s="6">
        <v>47</v>
      </c>
      <c r="B49" s="6">
        <v>16</v>
      </c>
      <c r="C49" s="42"/>
      <c r="D49" s="36"/>
      <c r="E49" s="36"/>
      <c r="F49" s="36"/>
      <c r="G49" s="36"/>
      <c r="H49" s="38"/>
      <c r="I49" s="6" t="s">
        <v>125</v>
      </c>
      <c r="J49" s="38"/>
      <c r="K49" s="38"/>
      <c r="L49" s="39"/>
      <c r="M49" s="8" t="s">
        <v>72</v>
      </c>
      <c r="N49" s="12">
        <v>405.9</v>
      </c>
      <c r="O49" t="s">
        <v>72</v>
      </c>
      <c r="P49" s="6" t="s">
        <v>46</v>
      </c>
      <c r="Q49" s="8" t="s">
        <v>72</v>
      </c>
      <c r="R49" s="8" t="s">
        <v>72</v>
      </c>
      <c r="S49" s="8" t="s">
        <v>72</v>
      </c>
      <c r="T49" s="8" t="s">
        <v>72</v>
      </c>
      <c r="U49" s="12">
        <v>329.1</v>
      </c>
      <c r="W49" s="6" t="s">
        <v>46</v>
      </c>
      <c r="X49" s="8" t="s">
        <v>72</v>
      </c>
      <c r="Y49" s="8" t="s">
        <v>72</v>
      </c>
      <c r="Z49" s="8" t="s">
        <v>72</v>
      </c>
      <c r="AA49" s="10">
        <f t="shared" si="15"/>
        <v>-18.920916481892082</v>
      </c>
      <c r="AB49" s="8" t="e">
        <f t="shared" si="18"/>
        <v>#VALUE!</v>
      </c>
      <c r="AC49" s="11">
        <v>0.32</v>
      </c>
      <c r="AD49" s="6">
        <v>3.9</v>
      </c>
      <c r="AE49" s="13">
        <f t="shared" si="22"/>
        <v>6.7235999999999994</v>
      </c>
    </row>
    <row r="50" spans="1:33" x14ac:dyDescent="0.3">
      <c r="A50" s="6">
        <v>48</v>
      </c>
      <c r="B50" s="6">
        <v>16</v>
      </c>
      <c r="C50" s="42"/>
      <c r="D50" s="36"/>
      <c r="E50" s="36"/>
      <c r="F50" s="36" t="s">
        <v>153</v>
      </c>
      <c r="G50" s="36" t="s">
        <v>154</v>
      </c>
      <c r="H50" s="6">
        <v>2012</v>
      </c>
      <c r="I50" s="6" t="s">
        <v>157</v>
      </c>
      <c r="J50" s="38"/>
      <c r="K50" s="38"/>
      <c r="L50" s="39"/>
      <c r="M50" s="8" t="s">
        <v>72</v>
      </c>
      <c r="N50" s="12">
        <v>312.7</v>
      </c>
      <c r="O50" t="s">
        <v>72</v>
      </c>
      <c r="P50" s="6" t="s">
        <v>46</v>
      </c>
      <c r="Q50" s="8" t="s">
        <v>72</v>
      </c>
      <c r="R50" s="8" t="s">
        <v>72</v>
      </c>
      <c r="S50" s="8" t="s">
        <v>72</v>
      </c>
      <c r="T50" s="8" t="s">
        <v>72</v>
      </c>
      <c r="U50" s="12">
        <v>482.1</v>
      </c>
      <c r="W50" s="6" t="s">
        <v>46</v>
      </c>
      <c r="X50" s="8" t="s">
        <v>72</v>
      </c>
      <c r="Y50" s="8" t="s">
        <v>72</v>
      </c>
      <c r="Z50" s="8" t="s">
        <v>72</v>
      </c>
      <c r="AA50" s="10">
        <f t="shared" si="15"/>
        <v>54.173329069395606</v>
      </c>
      <c r="AB50" s="8" t="e">
        <f t="shared" si="18"/>
        <v>#VALUE!</v>
      </c>
      <c r="AC50" s="11">
        <v>1.05</v>
      </c>
      <c r="AD50" s="6">
        <v>12.2</v>
      </c>
      <c r="AE50" s="13">
        <f t="shared" si="22"/>
        <v>21.032799999999998</v>
      </c>
    </row>
    <row r="51" spans="1:33" x14ac:dyDescent="0.3">
      <c r="A51" s="6">
        <v>49</v>
      </c>
      <c r="B51" s="6">
        <v>16</v>
      </c>
      <c r="C51" s="42"/>
      <c r="D51" s="36"/>
      <c r="E51" s="36"/>
      <c r="F51" s="36"/>
      <c r="G51" s="36"/>
      <c r="H51" s="38">
        <v>2013</v>
      </c>
      <c r="I51" s="6" t="s">
        <v>157</v>
      </c>
      <c r="J51" s="38"/>
      <c r="K51" s="38"/>
      <c r="L51" s="39"/>
      <c r="M51" s="8" t="s">
        <v>72</v>
      </c>
      <c r="N51" s="12">
        <v>1144.7</v>
      </c>
      <c r="O51" s="8" t="s">
        <v>72</v>
      </c>
      <c r="P51" s="6" t="s">
        <v>46</v>
      </c>
      <c r="Q51" s="8" t="s">
        <v>72</v>
      </c>
      <c r="R51" s="8" t="s">
        <v>72</v>
      </c>
      <c r="S51" s="8" t="s">
        <v>72</v>
      </c>
      <c r="T51" s="8" t="s">
        <v>72</v>
      </c>
      <c r="U51" s="12">
        <v>925</v>
      </c>
      <c r="W51" s="6" t="s">
        <v>46</v>
      </c>
      <c r="X51" s="8" t="s">
        <v>72</v>
      </c>
      <c r="Y51" s="8" t="s">
        <v>72</v>
      </c>
      <c r="Z51" s="8" t="s">
        <v>72</v>
      </c>
      <c r="AA51" s="10">
        <f t="shared" si="15"/>
        <v>-19.192801607408057</v>
      </c>
      <c r="AB51" s="8" t="e">
        <f t="shared" si="18"/>
        <v>#VALUE!</v>
      </c>
      <c r="AC51" s="11">
        <v>1.05</v>
      </c>
      <c r="AD51" s="6">
        <v>12.2</v>
      </c>
      <c r="AE51" s="13">
        <f t="shared" si="22"/>
        <v>21.032799999999998</v>
      </c>
    </row>
    <row r="52" spans="1:33" x14ac:dyDescent="0.3">
      <c r="A52" s="6">
        <v>50</v>
      </c>
      <c r="B52" s="6">
        <v>16</v>
      </c>
      <c r="C52" s="42"/>
      <c r="D52" s="36"/>
      <c r="E52" s="36"/>
      <c r="F52" s="36"/>
      <c r="G52" s="36"/>
      <c r="H52" s="38"/>
      <c r="I52" s="6" t="s">
        <v>125</v>
      </c>
      <c r="J52" s="38"/>
      <c r="K52" s="38"/>
      <c r="L52" s="39"/>
      <c r="M52" s="8" t="s">
        <v>72</v>
      </c>
      <c r="N52" s="12">
        <v>2782.8</v>
      </c>
      <c r="O52" t="s">
        <v>72</v>
      </c>
      <c r="P52" s="6" t="s">
        <v>46</v>
      </c>
      <c r="Q52" s="8" t="s">
        <v>72</v>
      </c>
      <c r="R52" s="8" t="s">
        <v>72</v>
      </c>
      <c r="S52" s="8" t="s">
        <v>72</v>
      </c>
      <c r="T52" s="8" t="s">
        <v>72</v>
      </c>
      <c r="U52" s="12">
        <v>1905.2</v>
      </c>
      <c r="W52" s="6" t="s">
        <v>46</v>
      </c>
      <c r="X52" s="8" t="s">
        <v>72</v>
      </c>
      <c r="Y52" s="8" t="s">
        <v>72</v>
      </c>
      <c r="Z52" s="8" t="s">
        <v>72</v>
      </c>
      <c r="AA52" s="10">
        <f t="shared" si="15"/>
        <v>-31.536581859997128</v>
      </c>
      <c r="AB52" s="8" t="e">
        <f t="shared" si="18"/>
        <v>#VALUE!</v>
      </c>
      <c r="AC52" s="11">
        <v>1.05</v>
      </c>
      <c r="AD52" s="6">
        <v>12.2</v>
      </c>
      <c r="AE52" s="13">
        <f t="shared" si="22"/>
        <v>21.032799999999998</v>
      </c>
    </row>
    <row r="53" spans="1:33" x14ac:dyDescent="0.3">
      <c r="A53" s="6">
        <v>51</v>
      </c>
      <c r="B53" s="6">
        <v>16</v>
      </c>
      <c r="C53" s="42"/>
      <c r="D53" s="36"/>
      <c r="E53" s="36"/>
      <c r="F53" s="36"/>
      <c r="G53" s="36"/>
      <c r="H53" s="6">
        <v>2015</v>
      </c>
      <c r="I53" s="6" t="s">
        <v>157</v>
      </c>
      <c r="J53" s="38"/>
      <c r="K53" s="38"/>
      <c r="L53" s="39"/>
      <c r="M53" s="8" t="s">
        <v>72</v>
      </c>
      <c r="N53" s="12">
        <v>500.4</v>
      </c>
      <c r="O53" t="s">
        <v>72</v>
      </c>
      <c r="P53" s="6" t="s">
        <v>46</v>
      </c>
      <c r="Q53" s="8" t="s">
        <v>72</v>
      </c>
      <c r="R53" s="8" t="s">
        <v>72</v>
      </c>
      <c r="S53" s="8" t="s">
        <v>72</v>
      </c>
      <c r="T53" s="8" t="s">
        <v>72</v>
      </c>
      <c r="U53" s="12">
        <v>581.20000000000005</v>
      </c>
      <c r="W53" s="6" t="s">
        <v>46</v>
      </c>
      <c r="X53" s="8" t="s">
        <v>72</v>
      </c>
      <c r="Y53" s="8" t="s">
        <v>72</v>
      </c>
      <c r="Z53" s="8" t="s">
        <v>72</v>
      </c>
      <c r="AA53" s="10">
        <f t="shared" si="15"/>
        <v>16.147082334132708</v>
      </c>
      <c r="AB53" s="8" t="e">
        <f t="shared" si="18"/>
        <v>#VALUE!</v>
      </c>
      <c r="AC53" s="11">
        <v>1.05</v>
      </c>
      <c r="AD53" s="6">
        <v>12.2</v>
      </c>
      <c r="AE53" s="13">
        <f t="shared" si="22"/>
        <v>21.032799999999998</v>
      </c>
    </row>
    <row r="54" spans="1:33" x14ac:dyDescent="0.3">
      <c r="A54" s="6">
        <v>52</v>
      </c>
      <c r="B54" s="6">
        <v>16</v>
      </c>
      <c r="C54" s="42"/>
      <c r="D54" s="36"/>
      <c r="E54" s="36"/>
      <c r="F54" s="36"/>
      <c r="G54" s="36"/>
      <c r="H54" s="6">
        <v>2016</v>
      </c>
      <c r="I54" s="6" t="s">
        <v>157</v>
      </c>
      <c r="J54" s="38"/>
      <c r="K54" s="38"/>
      <c r="L54" s="39"/>
      <c r="M54" s="8" t="s">
        <v>72</v>
      </c>
      <c r="N54" s="12">
        <v>1367</v>
      </c>
      <c r="O54" t="s">
        <v>72</v>
      </c>
      <c r="P54" s="6" t="s">
        <v>46</v>
      </c>
      <c r="Q54" s="8" t="s">
        <v>72</v>
      </c>
      <c r="R54" s="8" t="s">
        <v>72</v>
      </c>
      <c r="S54" s="8" t="s">
        <v>72</v>
      </c>
      <c r="T54" s="8" t="s">
        <v>72</v>
      </c>
      <c r="U54" s="12">
        <v>1262</v>
      </c>
      <c r="W54" s="6" t="s">
        <v>46</v>
      </c>
      <c r="X54" s="8" t="s">
        <v>72</v>
      </c>
      <c r="Y54" s="8" t="s">
        <v>72</v>
      </c>
      <c r="Z54" s="8" t="s">
        <v>72</v>
      </c>
      <c r="AA54" s="10">
        <f t="shared" ref="AA54:AA63" si="23">(U54-N54)/N54*100</f>
        <v>-7.6810534016093639</v>
      </c>
      <c r="AB54" s="8" t="e">
        <f t="shared" si="18"/>
        <v>#VALUE!</v>
      </c>
      <c r="AC54" s="11">
        <v>1.05</v>
      </c>
      <c r="AD54" s="6">
        <v>12.2</v>
      </c>
      <c r="AE54" s="13">
        <f t="shared" si="22"/>
        <v>21.032799999999998</v>
      </c>
    </row>
    <row r="55" spans="1:33" x14ac:dyDescent="0.3">
      <c r="A55" s="6">
        <v>53</v>
      </c>
      <c r="B55" s="6">
        <v>16</v>
      </c>
      <c r="C55" s="42"/>
      <c r="D55" s="36"/>
      <c r="E55" s="36"/>
      <c r="F55" s="36" t="s">
        <v>155</v>
      </c>
      <c r="G55" s="36" t="s">
        <v>156</v>
      </c>
      <c r="H55" s="6">
        <v>2012</v>
      </c>
      <c r="I55" s="6" t="s">
        <v>157</v>
      </c>
      <c r="J55" s="38"/>
      <c r="K55" s="38"/>
      <c r="L55" s="39"/>
      <c r="M55" s="8" t="s">
        <v>72</v>
      </c>
      <c r="N55" s="12">
        <v>299</v>
      </c>
      <c r="O55" t="s">
        <v>72</v>
      </c>
      <c r="P55" s="6" t="s">
        <v>46</v>
      </c>
      <c r="Q55" s="8" t="s">
        <v>72</v>
      </c>
      <c r="R55" s="8" t="s">
        <v>72</v>
      </c>
      <c r="S55" s="8" t="s">
        <v>72</v>
      </c>
      <c r="T55" s="8" t="s">
        <v>72</v>
      </c>
      <c r="U55" s="12">
        <v>358.7</v>
      </c>
      <c r="W55" s="6" t="s">
        <v>46</v>
      </c>
      <c r="X55" s="8" t="s">
        <v>72</v>
      </c>
      <c r="Y55" s="8" t="s">
        <v>72</v>
      </c>
      <c r="Z55" s="8" t="s">
        <v>72</v>
      </c>
      <c r="AA55" s="10">
        <f t="shared" si="23"/>
        <v>19.966555183946486</v>
      </c>
      <c r="AB55" s="8" t="e">
        <f t="shared" si="18"/>
        <v>#VALUE!</v>
      </c>
      <c r="AC55" s="11">
        <v>2.13</v>
      </c>
      <c r="AD55" s="6">
        <v>19.3</v>
      </c>
      <c r="AE55" s="13">
        <f t="shared" si="22"/>
        <v>33.273200000000003</v>
      </c>
    </row>
    <row r="56" spans="1:33" x14ac:dyDescent="0.3">
      <c r="A56" s="6">
        <v>54</v>
      </c>
      <c r="B56" s="6">
        <v>16</v>
      </c>
      <c r="C56" s="42"/>
      <c r="D56" s="36"/>
      <c r="E56" s="36"/>
      <c r="F56" s="36"/>
      <c r="G56" s="36"/>
      <c r="H56" s="38">
        <v>2013</v>
      </c>
      <c r="I56" s="6" t="s">
        <v>157</v>
      </c>
      <c r="J56" s="38"/>
      <c r="K56" s="38"/>
      <c r="L56" s="39"/>
      <c r="M56" s="8" t="s">
        <v>72</v>
      </c>
      <c r="N56" s="12">
        <v>1382.2</v>
      </c>
      <c r="O56" t="s">
        <v>72</v>
      </c>
      <c r="P56" s="6" t="s">
        <v>46</v>
      </c>
      <c r="Q56" s="8" t="s">
        <v>72</v>
      </c>
      <c r="R56" s="8" t="s">
        <v>72</v>
      </c>
      <c r="S56" s="8" t="s">
        <v>72</v>
      </c>
      <c r="T56" s="8" t="s">
        <v>72</v>
      </c>
      <c r="U56" s="12">
        <v>1391.8</v>
      </c>
      <c r="W56" s="6" t="s">
        <v>46</v>
      </c>
      <c r="X56" s="8" t="s">
        <v>72</v>
      </c>
      <c r="Y56" s="8" t="s">
        <v>72</v>
      </c>
      <c r="Z56" s="8" t="s">
        <v>72</v>
      </c>
      <c r="AA56" s="10">
        <f t="shared" si="23"/>
        <v>0.69454492837504767</v>
      </c>
      <c r="AB56" s="8" t="e">
        <f t="shared" si="18"/>
        <v>#VALUE!</v>
      </c>
      <c r="AC56" s="11">
        <v>2.13</v>
      </c>
      <c r="AD56" s="6">
        <v>19.3</v>
      </c>
      <c r="AE56" s="13">
        <f t="shared" si="22"/>
        <v>33.273200000000003</v>
      </c>
    </row>
    <row r="57" spans="1:33" x14ac:dyDescent="0.3">
      <c r="A57" s="6">
        <v>55</v>
      </c>
      <c r="B57" s="6">
        <v>16</v>
      </c>
      <c r="C57" s="42"/>
      <c r="D57" s="36"/>
      <c r="E57" s="36"/>
      <c r="F57" s="36"/>
      <c r="G57" s="36"/>
      <c r="H57" s="38"/>
      <c r="I57" s="6" t="s">
        <v>125</v>
      </c>
      <c r="J57" s="38"/>
      <c r="K57" s="38"/>
      <c r="L57" s="39"/>
      <c r="M57" s="8" t="s">
        <v>72</v>
      </c>
      <c r="N57" s="12">
        <v>3213.4</v>
      </c>
      <c r="O57" s="8" t="s">
        <v>72</v>
      </c>
      <c r="P57" s="6" t="s">
        <v>46</v>
      </c>
      <c r="Q57" s="8" t="s">
        <v>72</v>
      </c>
      <c r="R57" s="8" t="s">
        <v>72</v>
      </c>
      <c r="S57" s="8" t="s">
        <v>72</v>
      </c>
      <c r="T57" s="8" t="s">
        <v>72</v>
      </c>
      <c r="U57" s="12">
        <v>2731.3</v>
      </c>
      <c r="W57" s="6" t="s">
        <v>46</v>
      </c>
      <c r="X57" s="8" t="s">
        <v>72</v>
      </c>
      <c r="Y57" s="8" t="s">
        <v>72</v>
      </c>
      <c r="Z57" s="8" t="s">
        <v>72</v>
      </c>
      <c r="AA57" s="10">
        <f t="shared" si="23"/>
        <v>-15.002800771768218</v>
      </c>
      <c r="AB57" s="8" t="e">
        <f t="shared" si="18"/>
        <v>#VALUE!</v>
      </c>
      <c r="AC57" s="11">
        <v>2.13</v>
      </c>
      <c r="AD57" s="6">
        <v>19.3</v>
      </c>
      <c r="AE57" s="13">
        <f t="shared" si="22"/>
        <v>33.273200000000003</v>
      </c>
    </row>
    <row r="58" spans="1:33" x14ac:dyDescent="0.3">
      <c r="A58" s="6">
        <v>56</v>
      </c>
      <c r="B58" s="6">
        <v>16</v>
      </c>
      <c r="C58" s="42"/>
      <c r="D58" s="36"/>
      <c r="E58" s="36"/>
      <c r="F58" s="36"/>
      <c r="G58" s="36"/>
      <c r="H58" s="38">
        <v>2015</v>
      </c>
      <c r="I58" s="6" t="s">
        <v>157</v>
      </c>
      <c r="J58" s="38"/>
      <c r="K58" s="38"/>
      <c r="L58" s="39"/>
      <c r="M58" s="8" t="s">
        <v>72</v>
      </c>
      <c r="N58" s="12">
        <v>428.3</v>
      </c>
      <c r="O58" t="s">
        <v>72</v>
      </c>
      <c r="P58" s="6" t="s">
        <v>46</v>
      </c>
      <c r="Q58" s="8" t="s">
        <v>72</v>
      </c>
      <c r="R58" s="8" t="s">
        <v>72</v>
      </c>
      <c r="S58" s="8" t="s">
        <v>72</v>
      </c>
      <c r="T58" s="8" t="s">
        <v>72</v>
      </c>
      <c r="U58" s="12">
        <v>466.8</v>
      </c>
      <c r="W58" s="6" t="s">
        <v>46</v>
      </c>
      <c r="X58" s="8" t="s">
        <v>72</v>
      </c>
      <c r="Y58" s="8" t="s">
        <v>72</v>
      </c>
      <c r="Z58" s="8" t="s">
        <v>72</v>
      </c>
      <c r="AA58" s="10">
        <f t="shared" si="23"/>
        <v>8.989026383376137</v>
      </c>
      <c r="AB58" s="8" t="e">
        <f t="shared" si="18"/>
        <v>#VALUE!</v>
      </c>
      <c r="AC58" s="11">
        <v>2.13</v>
      </c>
      <c r="AD58" s="6">
        <v>19.3</v>
      </c>
      <c r="AE58" s="13">
        <f t="shared" si="22"/>
        <v>33.273200000000003</v>
      </c>
    </row>
    <row r="59" spans="1:33" x14ac:dyDescent="0.3">
      <c r="A59" s="6">
        <v>57</v>
      </c>
      <c r="B59" s="6">
        <v>16</v>
      </c>
      <c r="C59" s="42"/>
      <c r="D59" s="36"/>
      <c r="E59" s="36"/>
      <c r="F59" s="36"/>
      <c r="G59" s="36"/>
      <c r="H59" s="38"/>
      <c r="I59" s="6" t="s">
        <v>125</v>
      </c>
      <c r="J59" s="38"/>
      <c r="K59" s="38"/>
      <c r="L59" s="39"/>
      <c r="M59" s="8" t="s">
        <v>72</v>
      </c>
      <c r="N59" s="12">
        <v>280.2</v>
      </c>
      <c r="O59" t="s">
        <v>72</v>
      </c>
      <c r="P59" s="6" t="s">
        <v>46</v>
      </c>
      <c r="Q59" s="8" t="s">
        <v>72</v>
      </c>
      <c r="R59" s="8" t="s">
        <v>72</v>
      </c>
      <c r="S59" s="8" t="s">
        <v>72</v>
      </c>
      <c r="T59" s="8" t="s">
        <v>72</v>
      </c>
      <c r="U59" s="12">
        <v>215.3</v>
      </c>
      <c r="W59" s="6" t="s">
        <v>46</v>
      </c>
      <c r="X59" s="8" t="s">
        <v>72</v>
      </c>
      <c r="Y59" s="8" t="s">
        <v>72</v>
      </c>
      <c r="Z59" s="8" t="s">
        <v>72</v>
      </c>
      <c r="AA59" s="10">
        <f t="shared" si="23"/>
        <v>-23.16202712348322</v>
      </c>
      <c r="AB59" s="8" t="e">
        <f t="shared" si="18"/>
        <v>#VALUE!</v>
      </c>
      <c r="AC59" s="11">
        <v>2.13</v>
      </c>
      <c r="AD59" s="6">
        <v>19.3</v>
      </c>
      <c r="AE59" s="13">
        <f t="shared" si="22"/>
        <v>33.273200000000003</v>
      </c>
    </row>
    <row r="60" spans="1:33" x14ac:dyDescent="0.3">
      <c r="A60" s="6">
        <v>58</v>
      </c>
      <c r="B60" s="6">
        <v>16</v>
      </c>
      <c r="C60" s="42"/>
      <c r="D60" s="36"/>
      <c r="E60" s="36"/>
      <c r="F60" s="36"/>
      <c r="G60" s="36"/>
      <c r="H60" s="38">
        <v>2016</v>
      </c>
      <c r="I60" s="6" t="s">
        <v>157</v>
      </c>
      <c r="J60" s="38"/>
      <c r="K60" s="38"/>
      <c r="L60" s="39"/>
      <c r="M60" s="8" t="s">
        <v>72</v>
      </c>
      <c r="N60" s="12">
        <v>711.7</v>
      </c>
      <c r="O60" t="s">
        <v>72</v>
      </c>
      <c r="P60" s="6" t="s">
        <v>46</v>
      </c>
      <c r="Q60" s="8" t="s">
        <v>72</v>
      </c>
      <c r="R60" s="8" t="s">
        <v>72</v>
      </c>
      <c r="S60" s="8" t="s">
        <v>72</v>
      </c>
      <c r="T60" s="8" t="s">
        <v>72</v>
      </c>
      <c r="U60" s="12">
        <v>809.3</v>
      </c>
      <c r="W60" s="6" t="s">
        <v>46</v>
      </c>
      <c r="X60" s="8" t="s">
        <v>72</v>
      </c>
      <c r="Y60" s="8" t="s">
        <v>72</v>
      </c>
      <c r="Z60" s="8" t="s">
        <v>72</v>
      </c>
      <c r="AA60" s="10">
        <f t="shared" si="23"/>
        <v>13.713643389068414</v>
      </c>
      <c r="AB60" s="8" t="e">
        <f t="shared" si="18"/>
        <v>#VALUE!</v>
      </c>
      <c r="AC60" s="11">
        <v>2.13</v>
      </c>
      <c r="AD60" s="6">
        <v>19.3</v>
      </c>
      <c r="AE60" s="13">
        <f t="shared" si="22"/>
        <v>33.273200000000003</v>
      </c>
    </row>
    <row r="61" spans="1:33" x14ac:dyDescent="0.3">
      <c r="A61" s="6">
        <v>59</v>
      </c>
      <c r="B61" s="6">
        <v>16</v>
      </c>
      <c r="C61" s="42"/>
      <c r="D61" s="36"/>
      <c r="E61" s="36"/>
      <c r="F61" s="36"/>
      <c r="G61" s="36"/>
      <c r="H61" s="38"/>
      <c r="I61" s="6" t="s">
        <v>125</v>
      </c>
      <c r="J61" s="38"/>
      <c r="K61" s="38"/>
      <c r="L61" s="39"/>
      <c r="M61" s="8" t="s">
        <v>72</v>
      </c>
      <c r="N61">
        <v>493</v>
      </c>
      <c r="O61" t="s">
        <v>72</v>
      </c>
      <c r="P61" s="6" t="s">
        <v>46</v>
      </c>
      <c r="Q61" s="8" t="s">
        <v>72</v>
      </c>
      <c r="R61" s="8" t="s">
        <v>72</v>
      </c>
      <c r="S61" s="8" t="s">
        <v>72</v>
      </c>
      <c r="T61" s="8" t="s">
        <v>72</v>
      </c>
      <c r="U61" s="12">
        <v>472.4</v>
      </c>
      <c r="W61" s="6" t="s">
        <v>46</v>
      </c>
      <c r="X61" s="8" t="s">
        <v>72</v>
      </c>
      <c r="Y61" s="8" t="s">
        <v>72</v>
      </c>
      <c r="Z61" s="8" t="s">
        <v>72</v>
      </c>
      <c r="AA61" s="10">
        <f t="shared" si="23"/>
        <v>-4.1784989858012223</v>
      </c>
      <c r="AB61" s="8" t="e">
        <f t="shared" si="18"/>
        <v>#VALUE!</v>
      </c>
      <c r="AC61" s="11">
        <v>2.13</v>
      </c>
      <c r="AD61" s="6">
        <v>19.3</v>
      </c>
      <c r="AE61" s="13">
        <f t="shared" si="22"/>
        <v>33.273200000000003</v>
      </c>
    </row>
    <row r="62" spans="1:33" x14ac:dyDescent="0.3">
      <c r="A62" s="6">
        <v>60</v>
      </c>
      <c r="B62" s="6">
        <v>17</v>
      </c>
      <c r="C62" s="36" t="s">
        <v>159</v>
      </c>
      <c r="D62" s="36" t="s">
        <v>126</v>
      </c>
      <c r="E62" s="36">
        <v>2024</v>
      </c>
      <c r="F62" t="s">
        <v>143</v>
      </c>
      <c r="G62" t="s">
        <v>144</v>
      </c>
      <c r="H62" s="38">
        <v>2021</v>
      </c>
      <c r="I62" s="6" t="s">
        <v>2842</v>
      </c>
      <c r="J62" s="6">
        <v>3</v>
      </c>
      <c r="K62" s="38" t="s">
        <v>111</v>
      </c>
      <c r="L62" s="37" t="s">
        <v>146</v>
      </c>
      <c r="M62" t="s">
        <v>147</v>
      </c>
      <c r="N62">
        <v>12</v>
      </c>
      <c r="O62" s="8" t="s">
        <v>2856</v>
      </c>
      <c r="P62" s="6" t="s">
        <v>148</v>
      </c>
      <c r="Q62" s="9" t="s">
        <v>72</v>
      </c>
      <c r="R62" s="8" t="s">
        <v>72</v>
      </c>
      <c r="S62" s="8" t="s">
        <v>72</v>
      </c>
      <c r="T62" t="s">
        <v>147</v>
      </c>
      <c r="U62">
        <v>11</v>
      </c>
      <c r="V62" s="8">
        <v>0.48</v>
      </c>
      <c r="W62" s="6" t="s">
        <v>148</v>
      </c>
      <c r="X62" s="8" t="s">
        <v>72</v>
      </c>
      <c r="Y62" s="8" t="s">
        <v>72</v>
      </c>
      <c r="Z62" s="8" t="s">
        <v>72</v>
      </c>
      <c r="AA62" s="10">
        <f t="shared" si="23"/>
        <v>-8.3333333333333321</v>
      </c>
      <c r="AB62" s="8" t="e">
        <f t="shared" si="18"/>
        <v>#VALUE!</v>
      </c>
      <c r="AC62" s="11">
        <v>1.66</v>
      </c>
      <c r="AD62">
        <v>1.79</v>
      </c>
      <c r="AE62" s="13">
        <f t="shared" si="22"/>
        <v>3.08596</v>
      </c>
    </row>
    <row r="63" spans="1:33" x14ac:dyDescent="0.3">
      <c r="A63" s="6">
        <v>61</v>
      </c>
      <c r="B63" s="6">
        <v>17</v>
      </c>
      <c r="C63" s="36"/>
      <c r="D63" s="36"/>
      <c r="E63" s="36"/>
      <c r="F63" t="s">
        <v>145</v>
      </c>
      <c r="G63" t="s">
        <v>149</v>
      </c>
      <c r="H63" s="38"/>
      <c r="I63" s="6" t="s">
        <v>2842</v>
      </c>
      <c r="J63" s="6">
        <v>3</v>
      </c>
      <c r="K63" s="38"/>
      <c r="L63" s="37"/>
      <c r="M63" t="s">
        <v>147</v>
      </c>
      <c r="N63">
        <v>19</v>
      </c>
      <c r="O63" s="8" t="s">
        <v>2857</v>
      </c>
      <c r="P63" s="6" t="s">
        <v>148</v>
      </c>
      <c r="Q63" s="9" t="s">
        <v>72</v>
      </c>
      <c r="R63" s="8" t="s">
        <v>72</v>
      </c>
      <c r="S63" s="8" t="s">
        <v>72</v>
      </c>
      <c r="T63" t="s">
        <v>147</v>
      </c>
      <c r="U63">
        <v>17</v>
      </c>
      <c r="V63" s="8">
        <v>2.16</v>
      </c>
      <c r="W63" s="6" t="s">
        <v>148</v>
      </c>
      <c r="X63" s="8" t="s">
        <v>72</v>
      </c>
      <c r="Y63" s="8" t="s">
        <v>72</v>
      </c>
      <c r="Z63" s="8" t="s">
        <v>72</v>
      </c>
      <c r="AA63" s="10">
        <f t="shared" si="23"/>
        <v>-10.526315789473683</v>
      </c>
      <c r="AB63" s="8" t="e">
        <f t="shared" si="18"/>
        <v>#VALUE!</v>
      </c>
      <c r="AC63" s="11">
        <v>0.94</v>
      </c>
      <c r="AD63">
        <v>1.08</v>
      </c>
      <c r="AE63" s="13">
        <f t="shared" si="22"/>
        <v>1.86192</v>
      </c>
    </row>
    <row r="64" spans="1:33" x14ac:dyDescent="0.3">
      <c r="A64" s="6">
        <v>62</v>
      </c>
      <c r="B64" s="6">
        <v>18</v>
      </c>
      <c r="C64" s="15" t="s">
        <v>127</v>
      </c>
      <c r="D64" t="s">
        <v>128</v>
      </c>
      <c r="E64" s="16">
        <v>2002</v>
      </c>
      <c r="F64" t="s">
        <v>138</v>
      </c>
      <c r="G64" t="s">
        <v>139</v>
      </c>
      <c r="H64" t="s">
        <v>140</v>
      </c>
      <c r="I64" s="6" t="s">
        <v>77</v>
      </c>
      <c r="J64" s="6">
        <v>4</v>
      </c>
      <c r="K64" t="s">
        <v>141</v>
      </c>
      <c r="L64" s="12" t="s">
        <v>142</v>
      </c>
      <c r="M64">
        <v>120</v>
      </c>
      <c r="N64">
        <v>1.43</v>
      </c>
      <c r="O64">
        <v>0.16</v>
      </c>
      <c r="P64" t="s">
        <v>29</v>
      </c>
      <c r="Q64">
        <v>4.05</v>
      </c>
      <c r="R64">
        <v>0.13</v>
      </c>
      <c r="S64" t="s">
        <v>47</v>
      </c>
      <c r="T64">
        <v>120</v>
      </c>
      <c r="U64">
        <v>1.19</v>
      </c>
      <c r="V64">
        <v>0.12</v>
      </c>
      <c r="W64" s="6" t="s">
        <v>29</v>
      </c>
      <c r="X64">
        <v>4.21</v>
      </c>
      <c r="Y64">
        <v>0.08</v>
      </c>
      <c r="Z64" t="s">
        <v>47</v>
      </c>
      <c r="AA64" s="10">
        <f t="shared" ref="AA64:AA76" si="24">(U64-N64)/N64*100</f>
        <v>-16.783216783216783</v>
      </c>
      <c r="AB64" s="8">
        <f t="shared" ref="AB64:AB76" si="25">(X64-Q64)/Q64*100</f>
        <v>3.9506172839506206</v>
      </c>
      <c r="AC64" s="11">
        <v>0.48</v>
      </c>
      <c r="AD64">
        <v>5</v>
      </c>
      <c r="AE64" s="13">
        <f t="shared" ref="AE64:AE76" si="26">AD64*1.724</f>
        <v>8.6199999999999992</v>
      </c>
      <c r="AG64" t="s">
        <v>2867</v>
      </c>
    </row>
    <row r="65" spans="1:31" x14ac:dyDescent="0.3">
      <c r="A65" s="6">
        <v>63</v>
      </c>
      <c r="B65" s="6">
        <v>19</v>
      </c>
      <c r="C65" s="36" t="s">
        <v>129</v>
      </c>
      <c r="D65" s="36" t="s">
        <v>130</v>
      </c>
      <c r="E65" s="36">
        <v>2017</v>
      </c>
      <c r="F65" s="36" t="s">
        <v>132</v>
      </c>
      <c r="G65" s="36" t="s">
        <v>131</v>
      </c>
      <c r="H65" s="36" t="s">
        <v>133</v>
      </c>
      <c r="I65" s="38" t="s">
        <v>135</v>
      </c>
      <c r="J65" s="36">
        <v>3</v>
      </c>
      <c r="K65" s="36" t="s">
        <v>137</v>
      </c>
      <c r="L65" s="37" t="s">
        <v>136</v>
      </c>
      <c r="M65" s="36">
        <v>0</v>
      </c>
      <c r="N65">
        <v>0.450708013172338</v>
      </c>
      <c r="O65" s="45" t="s">
        <v>2858</v>
      </c>
      <c r="P65" t="s">
        <v>29</v>
      </c>
      <c r="Q65" t="s">
        <v>72</v>
      </c>
      <c r="R65" t="s">
        <v>72</v>
      </c>
      <c r="S65" t="s">
        <v>72</v>
      </c>
      <c r="T65">
        <v>0</v>
      </c>
      <c r="U65">
        <v>0.37957738748627801</v>
      </c>
      <c r="V65">
        <v>0.03</v>
      </c>
      <c r="W65" s="6" t="s">
        <v>29</v>
      </c>
      <c r="X65" t="s">
        <v>72</v>
      </c>
      <c r="Y65" t="s">
        <v>72</v>
      </c>
      <c r="Z65" t="s">
        <v>72</v>
      </c>
      <c r="AA65" s="10">
        <f t="shared" si="24"/>
        <v>-15.781974938808476</v>
      </c>
      <c r="AB65" s="8" t="e">
        <f t="shared" si="25"/>
        <v>#VALUE!</v>
      </c>
      <c r="AC65" s="11">
        <v>0.63</v>
      </c>
      <c r="AD65">
        <v>5.23</v>
      </c>
      <c r="AE65" s="13">
        <f t="shared" si="26"/>
        <v>9.0165199999999999</v>
      </c>
    </row>
    <row r="66" spans="1:31" x14ac:dyDescent="0.3">
      <c r="A66" s="6">
        <v>64</v>
      </c>
      <c r="B66" s="6">
        <v>19</v>
      </c>
      <c r="C66" s="36"/>
      <c r="D66" s="36"/>
      <c r="E66" s="36"/>
      <c r="F66" s="36"/>
      <c r="G66" s="36"/>
      <c r="H66" s="36"/>
      <c r="I66" s="38"/>
      <c r="J66" s="36"/>
      <c r="K66" s="36"/>
      <c r="L66" s="37"/>
      <c r="M66" s="36"/>
      <c r="N66">
        <v>0.389061470911086</v>
      </c>
      <c r="O66" t="s">
        <v>2859</v>
      </c>
      <c r="P66" t="s">
        <v>29</v>
      </c>
      <c r="Q66" t="s">
        <v>72</v>
      </c>
      <c r="R66" t="s">
        <v>72</v>
      </c>
      <c r="S66" t="s">
        <v>72</v>
      </c>
      <c r="T66">
        <v>0</v>
      </c>
      <c r="U66">
        <v>0.32978594950603701</v>
      </c>
      <c r="V66">
        <v>0.03</v>
      </c>
      <c r="W66" s="6" t="s">
        <v>29</v>
      </c>
      <c r="X66" t="s">
        <v>72</v>
      </c>
      <c r="Y66" t="s">
        <v>72</v>
      </c>
      <c r="Z66" t="s">
        <v>72</v>
      </c>
      <c r="AA66" s="10">
        <f t="shared" si="24"/>
        <v>-15.235515679884811</v>
      </c>
      <c r="AB66" s="8" t="e">
        <f t="shared" si="25"/>
        <v>#VALUE!</v>
      </c>
      <c r="AC66" s="11">
        <v>0.63</v>
      </c>
      <c r="AD66">
        <v>5.23</v>
      </c>
      <c r="AE66" s="13">
        <f t="shared" si="26"/>
        <v>9.0165199999999999</v>
      </c>
    </row>
    <row r="67" spans="1:31" x14ac:dyDescent="0.3">
      <c r="A67" s="6">
        <v>65</v>
      </c>
      <c r="B67" s="6">
        <v>19</v>
      </c>
      <c r="C67" s="36"/>
      <c r="D67" s="36"/>
      <c r="E67" s="36"/>
      <c r="F67" s="36"/>
      <c r="G67" s="36"/>
      <c r="H67" s="36"/>
      <c r="I67" s="38"/>
      <c r="J67" s="36"/>
      <c r="K67" s="36"/>
      <c r="L67" s="37"/>
      <c r="M67" s="36">
        <v>40</v>
      </c>
      <c r="N67">
        <v>0.85141053787047205</v>
      </c>
      <c r="O67" t="s">
        <v>2860</v>
      </c>
      <c r="P67" t="s">
        <v>29</v>
      </c>
      <c r="Q67" t="s">
        <v>72</v>
      </c>
      <c r="R67" t="s">
        <v>72</v>
      </c>
      <c r="S67" t="s">
        <v>72</v>
      </c>
      <c r="T67">
        <v>40</v>
      </c>
      <c r="U67">
        <v>0.62142151481887997</v>
      </c>
      <c r="V67">
        <v>0.02</v>
      </c>
      <c r="W67" s="6" t="s">
        <v>29</v>
      </c>
      <c r="X67" t="s">
        <v>72</v>
      </c>
      <c r="Y67" t="s">
        <v>72</v>
      </c>
      <c r="Z67" t="s">
        <v>72</v>
      </c>
      <c r="AA67" s="10">
        <f t="shared" si="24"/>
        <v>-27.012705718540342</v>
      </c>
      <c r="AB67" s="8" t="e">
        <f t="shared" si="25"/>
        <v>#VALUE!</v>
      </c>
      <c r="AC67" s="11">
        <v>0.63</v>
      </c>
      <c r="AD67">
        <v>5.23</v>
      </c>
      <c r="AE67" s="13">
        <f t="shared" si="26"/>
        <v>9.0165199999999999</v>
      </c>
    </row>
    <row r="68" spans="1:31" x14ac:dyDescent="0.3">
      <c r="A68" s="6">
        <v>66</v>
      </c>
      <c r="B68" s="6">
        <v>19</v>
      </c>
      <c r="C68" s="36"/>
      <c r="D68" s="36"/>
      <c r="E68" s="36"/>
      <c r="F68" s="36"/>
      <c r="G68" s="36"/>
      <c r="H68" s="36" t="s">
        <v>134</v>
      </c>
      <c r="I68" s="38"/>
      <c r="J68" s="36"/>
      <c r="K68" s="36"/>
      <c r="L68" s="37"/>
      <c r="M68" s="36"/>
      <c r="N68">
        <v>1.0802140504939599</v>
      </c>
      <c r="O68" t="s">
        <v>2861</v>
      </c>
      <c r="P68" t="s">
        <v>29</v>
      </c>
      <c r="Q68" t="s">
        <v>72</v>
      </c>
      <c r="R68" t="s">
        <v>72</v>
      </c>
      <c r="S68" t="s">
        <v>72</v>
      </c>
      <c r="T68">
        <v>40</v>
      </c>
      <c r="U68">
        <v>0.79924807903402795</v>
      </c>
      <c r="V68">
        <v>0.13</v>
      </c>
      <c r="W68" s="6" t="s">
        <v>29</v>
      </c>
      <c r="X68" t="s">
        <v>72</v>
      </c>
      <c r="Y68" t="s">
        <v>72</v>
      </c>
      <c r="Z68" t="s">
        <v>72</v>
      </c>
      <c r="AA68" s="10">
        <f t="shared" si="24"/>
        <v>-26.010212636231859</v>
      </c>
      <c r="AB68" s="8" t="e">
        <f t="shared" si="25"/>
        <v>#VALUE!</v>
      </c>
      <c r="AC68" s="11">
        <v>0.63</v>
      </c>
      <c r="AD68">
        <v>5.23</v>
      </c>
      <c r="AE68" s="13">
        <f t="shared" si="26"/>
        <v>9.0165199999999999</v>
      </c>
    </row>
    <row r="69" spans="1:31" x14ac:dyDescent="0.3">
      <c r="A69" s="6">
        <v>67</v>
      </c>
      <c r="B69" s="6">
        <v>19</v>
      </c>
      <c r="C69" s="36"/>
      <c r="D69" s="36"/>
      <c r="E69" s="36"/>
      <c r="F69" s="36"/>
      <c r="G69" s="36"/>
      <c r="H69" s="36"/>
      <c r="I69" s="38"/>
      <c r="J69" s="36"/>
      <c r="K69" s="36"/>
      <c r="L69" s="37"/>
      <c r="M69" s="36">
        <v>80</v>
      </c>
      <c r="N69">
        <v>1.72157519209659</v>
      </c>
      <c r="O69" t="s">
        <v>2862</v>
      </c>
      <c r="P69" t="s">
        <v>29</v>
      </c>
      <c r="Q69" t="s">
        <v>72</v>
      </c>
      <c r="R69" t="s">
        <v>72</v>
      </c>
      <c r="S69" t="s">
        <v>72</v>
      </c>
      <c r="T69">
        <v>80</v>
      </c>
      <c r="U69">
        <v>1.0600603732162399</v>
      </c>
      <c r="V69">
        <v>0.16</v>
      </c>
      <c r="W69" s="6" t="s">
        <v>29</v>
      </c>
      <c r="X69" t="s">
        <v>72</v>
      </c>
      <c r="Y69" t="s">
        <v>72</v>
      </c>
      <c r="Z69" t="s">
        <v>72</v>
      </c>
      <c r="AA69" s="10">
        <f t="shared" si="24"/>
        <v>-38.424973937660887</v>
      </c>
      <c r="AB69" s="8" t="e">
        <f t="shared" si="25"/>
        <v>#VALUE!</v>
      </c>
      <c r="AC69" s="11">
        <v>0.63</v>
      </c>
      <c r="AD69">
        <v>5.23</v>
      </c>
      <c r="AE69" s="13">
        <f t="shared" si="26"/>
        <v>9.0165199999999999</v>
      </c>
    </row>
    <row r="70" spans="1:31" x14ac:dyDescent="0.3">
      <c r="A70" s="6">
        <v>68</v>
      </c>
      <c r="B70" s="6">
        <v>19</v>
      </c>
      <c r="C70" s="36"/>
      <c r="D70" s="36"/>
      <c r="E70" s="36"/>
      <c r="F70" s="36"/>
      <c r="G70" s="36"/>
      <c r="H70" s="36"/>
      <c r="I70" s="38"/>
      <c r="J70" s="36"/>
      <c r="K70" s="36"/>
      <c r="L70" s="37"/>
      <c r="M70" s="36"/>
      <c r="N70">
        <v>1.89110318331503</v>
      </c>
      <c r="O70" s="8" t="s">
        <v>2863</v>
      </c>
      <c r="P70" t="s">
        <v>29</v>
      </c>
      <c r="Q70" s="8" t="s">
        <v>72</v>
      </c>
      <c r="R70" s="8" t="s">
        <v>72</v>
      </c>
      <c r="S70" s="8" t="s">
        <v>72</v>
      </c>
      <c r="T70" s="6">
        <v>80</v>
      </c>
      <c r="U70">
        <v>1.2402579582875899</v>
      </c>
      <c r="V70" s="8">
        <v>0.09</v>
      </c>
      <c r="W70" s="6" t="s">
        <v>29</v>
      </c>
      <c r="X70" s="8" t="s">
        <v>72</v>
      </c>
      <c r="Y70" s="8" t="s">
        <v>72</v>
      </c>
      <c r="Z70" s="8" t="s">
        <v>72</v>
      </c>
      <c r="AA70" s="10">
        <f t="shared" si="24"/>
        <v>-34.416166752283388</v>
      </c>
      <c r="AB70" s="8" t="e">
        <f t="shared" si="25"/>
        <v>#VALUE!</v>
      </c>
      <c r="AC70" s="11">
        <v>0.63</v>
      </c>
      <c r="AD70">
        <v>5.23</v>
      </c>
      <c r="AE70" s="13">
        <f t="shared" si="26"/>
        <v>9.0165199999999999</v>
      </c>
    </row>
    <row r="71" spans="1:31" x14ac:dyDescent="0.3">
      <c r="A71" s="6">
        <v>69</v>
      </c>
      <c r="B71" s="6">
        <v>20</v>
      </c>
      <c r="C71" s="42" t="s">
        <v>163</v>
      </c>
      <c r="D71" s="36" t="s">
        <v>164</v>
      </c>
      <c r="E71" s="36">
        <v>2025</v>
      </c>
      <c r="F71" s="36" t="s">
        <v>165</v>
      </c>
      <c r="G71" s="36" t="s">
        <v>166</v>
      </c>
      <c r="H71" s="38">
        <v>2018</v>
      </c>
      <c r="I71" s="38" t="s">
        <v>30</v>
      </c>
      <c r="J71" s="38">
        <v>4</v>
      </c>
      <c r="K71" s="38" t="s">
        <v>167</v>
      </c>
      <c r="L71" s="39" t="s">
        <v>168</v>
      </c>
      <c r="M71" s="36">
        <v>186</v>
      </c>
      <c r="N71" s="17">
        <v>5.52</v>
      </c>
      <c r="O71">
        <v>0.18</v>
      </c>
      <c r="P71" t="s">
        <v>36</v>
      </c>
      <c r="Q71">
        <v>6.81</v>
      </c>
      <c r="R71" t="s">
        <v>72</v>
      </c>
      <c r="S71" t="s">
        <v>169</v>
      </c>
      <c r="T71">
        <v>186</v>
      </c>
      <c r="U71" s="17">
        <v>4.55</v>
      </c>
      <c r="V71">
        <v>0.14000000000000001</v>
      </c>
      <c r="W71" s="6" t="s">
        <v>36</v>
      </c>
      <c r="X71">
        <v>6.74</v>
      </c>
      <c r="Y71" t="s">
        <v>72</v>
      </c>
      <c r="Z71" t="s">
        <v>169</v>
      </c>
      <c r="AA71" s="10">
        <f t="shared" si="24"/>
        <v>-17.572463768115938</v>
      </c>
      <c r="AB71" s="8">
        <f t="shared" si="25"/>
        <v>-1.0279001468428692</v>
      </c>
      <c r="AC71" s="11">
        <v>1.05</v>
      </c>
      <c r="AD71">
        <v>17.600000000000001</v>
      </c>
      <c r="AE71" s="13">
        <f t="shared" si="26"/>
        <v>30.342400000000001</v>
      </c>
    </row>
    <row r="72" spans="1:31" x14ac:dyDescent="0.3">
      <c r="A72" s="6">
        <v>70</v>
      </c>
      <c r="B72" s="6">
        <v>20</v>
      </c>
      <c r="C72" s="42"/>
      <c r="D72" s="36"/>
      <c r="E72" s="36"/>
      <c r="F72" s="36"/>
      <c r="G72" s="36"/>
      <c r="H72" s="38"/>
      <c r="I72" s="38"/>
      <c r="J72" s="38"/>
      <c r="K72" s="38"/>
      <c r="L72" s="39"/>
      <c r="M72" s="36"/>
      <c r="N72" s="17">
        <v>4.12</v>
      </c>
      <c r="O72">
        <v>0.27</v>
      </c>
      <c r="P72" t="s">
        <v>36</v>
      </c>
      <c r="Q72">
        <v>5.32</v>
      </c>
      <c r="R72" t="s">
        <v>72</v>
      </c>
      <c r="S72" t="s">
        <v>169</v>
      </c>
      <c r="T72">
        <v>186</v>
      </c>
      <c r="U72" s="17">
        <v>3.55</v>
      </c>
      <c r="V72">
        <v>0.11</v>
      </c>
      <c r="W72" s="6" t="s">
        <v>36</v>
      </c>
      <c r="X72">
        <v>5.53</v>
      </c>
      <c r="Y72" t="s">
        <v>72</v>
      </c>
      <c r="Z72" t="s">
        <v>169</v>
      </c>
      <c r="AA72" s="10">
        <f t="shared" si="24"/>
        <v>-13.834951456310687</v>
      </c>
      <c r="AB72" s="8">
        <f t="shared" si="25"/>
        <v>3.9473684210526305</v>
      </c>
      <c r="AC72" s="11">
        <v>1.05</v>
      </c>
      <c r="AD72">
        <v>17.600000000000001</v>
      </c>
      <c r="AE72" s="13">
        <f t="shared" si="26"/>
        <v>30.342400000000001</v>
      </c>
    </row>
    <row r="73" spans="1:31" x14ac:dyDescent="0.3">
      <c r="A73" s="6">
        <v>71</v>
      </c>
      <c r="B73" s="6">
        <v>20</v>
      </c>
      <c r="C73" s="42"/>
      <c r="D73" s="36"/>
      <c r="E73" s="36"/>
      <c r="F73" s="36"/>
      <c r="G73" s="36"/>
      <c r="H73" s="38"/>
      <c r="I73" s="38"/>
      <c r="J73" s="38"/>
      <c r="K73" s="38" t="s">
        <v>170</v>
      </c>
      <c r="L73" s="39"/>
      <c r="M73" s="36"/>
      <c r="N73" s="17">
        <v>5.52</v>
      </c>
      <c r="O73">
        <v>0.18</v>
      </c>
      <c r="P73" t="s">
        <v>36</v>
      </c>
      <c r="Q73">
        <v>6.81</v>
      </c>
      <c r="R73" t="s">
        <v>72</v>
      </c>
      <c r="S73" t="s">
        <v>169</v>
      </c>
      <c r="T73">
        <v>186</v>
      </c>
      <c r="U73" s="17">
        <v>4.99</v>
      </c>
      <c r="V73">
        <v>0.17</v>
      </c>
      <c r="W73" s="6" t="s">
        <v>36</v>
      </c>
      <c r="X73">
        <v>7.28</v>
      </c>
      <c r="Y73" t="s">
        <v>72</v>
      </c>
      <c r="Z73" t="s">
        <v>169</v>
      </c>
      <c r="AA73" s="10">
        <f t="shared" si="24"/>
        <v>-9.6014492753623077</v>
      </c>
      <c r="AB73" s="8">
        <f t="shared" si="25"/>
        <v>6.9016152716593338</v>
      </c>
      <c r="AC73" s="11">
        <v>1.05</v>
      </c>
      <c r="AD73">
        <v>17.600000000000001</v>
      </c>
      <c r="AE73" s="13">
        <f t="shared" si="26"/>
        <v>30.342400000000001</v>
      </c>
    </row>
    <row r="74" spans="1:31" x14ac:dyDescent="0.3">
      <c r="A74" s="6">
        <v>72</v>
      </c>
      <c r="B74" s="6">
        <v>20</v>
      </c>
      <c r="C74" s="42"/>
      <c r="D74" s="36"/>
      <c r="E74" s="36"/>
      <c r="F74" s="36"/>
      <c r="G74" s="36"/>
      <c r="H74" s="38">
        <v>2019</v>
      </c>
      <c r="I74" s="38"/>
      <c r="J74" s="38"/>
      <c r="K74" s="38"/>
      <c r="L74" s="39"/>
      <c r="M74" s="36"/>
      <c r="N74" s="17">
        <v>4.12</v>
      </c>
      <c r="O74">
        <v>0.27</v>
      </c>
      <c r="P74" t="s">
        <v>36</v>
      </c>
      <c r="Q74">
        <v>5.32</v>
      </c>
      <c r="R74" t="s">
        <v>72</v>
      </c>
      <c r="S74" t="s">
        <v>169</v>
      </c>
      <c r="T74">
        <v>186</v>
      </c>
      <c r="U74" s="17">
        <v>3.75</v>
      </c>
      <c r="V74">
        <v>0.27</v>
      </c>
      <c r="W74" s="6" t="s">
        <v>36</v>
      </c>
      <c r="X74">
        <v>4.93</v>
      </c>
      <c r="Y74" t="s">
        <v>72</v>
      </c>
      <c r="Z74" t="s">
        <v>169</v>
      </c>
      <c r="AA74" s="10">
        <f t="shared" si="24"/>
        <v>-8.9805825242718473</v>
      </c>
      <c r="AB74" s="8">
        <f t="shared" si="25"/>
        <v>-7.3308270676691834</v>
      </c>
      <c r="AC74" s="11">
        <v>1.05</v>
      </c>
      <c r="AD74">
        <v>17.600000000000001</v>
      </c>
      <c r="AE74" s="13">
        <f t="shared" si="26"/>
        <v>30.342400000000001</v>
      </c>
    </row>
    <row r="75" spans="1:31" x14ac:dyDescent="0.3">
      <c r="A75" s="6">
        <v>73</v>
      </c>
      <c r="B75" s="6">
        <v>20</v>
      </c>
      <c r="C75" s="42"/>
      <c r="D75" s="36"/>
      <c r="E75" s="36"/>
      <c r="F75" s="36"/>
      <c r="G75" s="36"/>
      <c r="H75" s="38"/>
      <c r="I75" s="38"/>
      <c r="J75" s="38"/>
      <c r="K75" s="38" t="s">
        <v>83</v>
      </c>
      <c r="L75" s="39"/>
      <c r="M75" s="36"/>
      <c r="N75" s="17">
        <v>5.52</v>
      </c>
      <c r="O75">
        <v>0.18</v>
      </c>
      <c r="P75" t="s">
        <v>36</v>
      </c>
      <c r="Q75">
        <v>6.81</v>
      </c>
      <c r="R75" t="s">
        <v>72</v>
      </c>
      <c r="S75" t="s">
        <v>169</v>
      </c>
      <c r="T75">
        <v>186</v>
      </c>
      <c r="U75" s="17">
        <v>4.18</v>
      </c>
      <c r="V75">
        <v>0.33</v>
      </c>
      <c r="W75" s="6" t="s">
        <v>36</v>
      </c>
      <c r="X75">
        <v>7.19</v>
      </c>
      <c r="Y75" t="s">
        <v>72</v>
      </c>
      <c r="Z75" t="s">
        <v>169</v>
      </c>
      <c r="AA75" s="10">
        <f t="shared" si="24"/>
        <v>-24.275362318840578</v>
      </c>
      <c r="AB75" s="8">
        <f t="shared" si="25"/>
        <v>5.5800293685756364</v>
      </c>
      <c r="AC75" s="11">
        <v>1.05</v>
      </c>
      <c r="AD75">
        <v>17.600000000000001</v>
      </c>
      <c r="AE75" s="13">
        <f t="shared" si="26"/>
        <v>30.342400000000001</v>
      </c>
    </row>
    <row r="76" spans="1:31" x14ac:dyDescent="0.3">
      <c r="A76" s="6">
        <v>74</v>
      </c>
      <c r="B76" s="6">
        <v>20</v>
      </c>
      <c r="C76" s="42"/>
      <c r="D76" s="36"/>
      <c r="E76" s="36"/>
      <c r="F76" s="36"/>
      <c r="G76" s="36"/>
      <c r="H76" s="38"/>
      <c r="I76" s="38"/>
      <c r="J76" s="38"/>
      <c r="K76" s="38"/>
      <c r="L76" s="39"/>
      <c r="M76" s="36"/>
      <c r="N76" s="17">
        <v>4.12</v>
      </c>
      <c r="O76" s="8">
        <v>0.27</v>
      </c>
      <c r="P76" t="s">
        <v>36</v>
      </c>
      <c r="Q76">
        <v>5.32</v>
      </c>
      <c r="R76" s="8" t="s">
        <v>72</v>
      </c>
      <c r="S76" t="s">
        <v>169</v>
      </c>
      <c r="T76">
        <v>186</v>
      </c>
      <c r="U76" s="17">
        <v>3.6</v>
      </c>
      <c r="V76" s="8">
        <v>0.35</v>
      </c>
      <c r="W76" s="6" t="s">
        <v>36</v>
      </c>
      <c r="X76">
        <v>5.53</v>
      </c>
      <c r="Y76" s="8" t="s">
        <v>72</v>
      </c>
      <c r="Z76" t="s">
        <v>169</v>
      </c>
      <c r="AA76" s="10">
        <f t="shared" si="24"/>
        <v>-12.621359223300971</v>
      </c>
      <c r="AB76" s="8">
        <f t="shared" si="25"/>
        <v>3.9473684210526305</v>
      </c>
      <c r="AC76" s="11">
        <v>1.05</v>
      </c>
      <c r="AD76">
        <v>17.600000000000001</v>
      </c>
      <c r="AE76" s="13">
        <f t="shared" si="26"/>
        <v>30.342400000000001</v>
      </c>
    </row>
    <row r="80" spans="1:31" x14ac:dyDescent="0.3">
      <c r="K80" s="6"/>
      <c r="L80" s="22"/>
      <c r="N80" s="17"/>
      <c r="U80" s="17"/>
      <c r="W80" s="6"/>
      <c r="AA80" s="8">
        <f>AVERAGE(AA3:AA76)</f>
        <v>-7.5157811936859344</v>
      </c>
      <c r="AB80" s="8"/>
      <c r="AC80" s="6"/>
      <c r="AE80" s="13"/>
    </row>
    <row r="81" spans="11:31" x14ac:dyDescent="0.3">
      <c r="K81" s="6"/>
      <c r="L81" s="22"/>
      <c r="N81" s="17"/>
      <c r="U81" s="17"/>
      <c r="W81" s="6"/>
      <c r="AA81" s="9">
        <f>STDEV(AA3:AA76)</f>
        <v>28.433527389920982</v>
      </c>
      <c r="AB81" s="8"/>
      <c r="AC81" s="6"/>
      <c r="AE81" s="13"/>
    </row>
    <row r="82" spans="11:31" x14ac:dyDescent="0.3">
      <c r="K82" s="6"/>
      <c r="L82" s="22"/>
      <c r="N82" s="17"/>
      <c r="U82" s="17"/>
      <c r="W82" s="6"/>
      <c r="AA82" s="9"/>
      <c r="AB82" s="8"/>
      <c r="AC82" s="6"/>
      <c r="AE82" s="13"/>
    </row>
    <row r="83" spans="11:31" x14ac:dyDescent="0.3">
      <c r="K83" s="6"/>
      <c r="L83" s="22"/>
      <c r="N83" s="17"/>
      <c r="U83" s="17"/>
      <c r="W83" s="6"/>
      <c r="AA83" s="9"/>
      <c r="AB83" s="8"/>
      <c r="AC83" s="6"/>
      <c r="AE83" s="13"/>
    </row>
    <row r="84" spans="11:31" x14ac:dyDescent="0.3">
      <c r="K84" s="6"/>
      <c r="L84" s="22"/>
      <c r="N84" s="17"/>
      <c r="U84" s="17"/>
      <c r="W84" s="6"/>
      <c r="AA84" s="9"/>
      <c r="AB84" s="8"/>
      <c r="AC84" s="6"/>
      <c r="AE84" s="13"/>
    </row>
    <row r="85" spans="11:31" x14ac:dyDescent="0.3">
      <c r="K85" s="6"/>
      <c r="L85" s="22"/>
      <c r="N85" s="17"/>
      <c r="O85" s="8"/>
      <c r="R85" s="8"/>
      <c r="U85" s="17"/>
      <c r="V85" s="8"/>
      <c r="W85" s="6"/>
      <c r="Y85" s="8"/>
      <c r="AA85" s="9"/>
      <c r="AB85" s="8"/>
      <c r="AC85" s="6"/>
      <c r="AE85" s="13"/>
    </row>
    <row r="144" spans="1:32" s="14" customFormat="1" x14ac:dyDescent="0.3">
      <c r="A144"/>
      <c r="B144"/>
      <c r="C144" s="15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</row>
    <row r="145" spans="1:32" s="14" customFormat="1" x14ac:dyDescent="0.3">
      <c r="A145"/>
      <c r="B145"/>
      <c r="C145" s="1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</row>
    <row r="146" spans="1:32" s="14" customFormat="1" x14ac:dyDescent="0.3">
      <c r="A146"/>
      <c r="B146"/>
      <c r="C146" s="15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</row>
  </sheetData>
  <mergeCells count="143">
    <mergeCell ref="U1:W1"/>
    <mergeCell ref="C3:C4"/>
    <mergeCell ref="D3:D4"/>
    <mergeCell ref="E3:E4"/>
    <mergeCell ref="G3:G4"/>
    <mergeCell ref="F3:F4"/>
    <mergeCell ref="C21:C22"/>
    <mergeCell ref="D21:D22"/>
    <mergeCell ref="E21:E22"/>
    <mergeCell ref="C5:C16"/>
    <mergeCell ref="D5:D16"/>
    <mergeCell ref="E5:E16"/>
    <mergeCell ref="F1:G1"/>
    <mergeCell ref="N1:P1"/>
    <mergeCell ref="Q1:S1"/>
    <mergeCell ref="F21:F22"/>
    <mergeCell ref="G21:G22"/>
    <mergeCell ref="K5:K16"/>
    <mergeCell ref="K3:K4"/>
    <mergeCell ref="I3:I4"/>
    <mergeCell ref="H3:H4"/>
    <mergeCell ref="I5:I16"/>
    <mergeCell ref="J5:J16"/>
    <mergeCell ref="H5:H16"/>
    <mergeCell ref="E62:E63"/>
    <mergeCell ref="H56:H57"/>
    <mergeCell ref="H58:H59"/>
    <mergeCell ref="H60:H61"/>
    <mergeCell ref="D36:D38"/>
    <mergeCell ref="E36:E38"/>
    <mergeCell ref="C33:C34"/>
    <mergeCell ref="D33:D34"/>
    <mergeCell ref="E33:E34"/>
    <mergeCell ref="C23:C25"/>
    <mergeCell ref="D23:D25"/>
    <mergeCell ref="E23:E25"/>
    <mergeCell ref="C36:C38"/>
    <mergeCell ref="F33:F34"/>
    <mergeCell ref="G33:G34"/>
    <mergeCell ref="H33:H34"/>
    <mergeCell ref="F26:F31"/>
    <mergeCell ref="G26:G31"/>
    <mergeCell ref="F23:F25"/>
    <mergeCell ref="G23:G25"/>
    <mergeCell ref="C26:C31"/>
    <mergeCell ref="D26:D31"/>
    <mergeCell ref="E26:E31"/>
    <mergeCell ref="C71:C76"/>
    <mergeCell ref="D71:D76"/>
    <mergeCell ref="E71:E76"/>
    <mergeCell ref="H71:H73"/>
    <mergeCell ref="H74:H76"/>
    <mergeCell ref="D41:D61"/>
    <mergeCell ref="C41:C61"/>
    <mergeCell ref="F41:F49"/>
    <mergeCell ref="G41:G49"/>
    <mergeCell ref="F50:F54"/>
    <mergeCell ref="G50:G54"/>
    <mergeCell ref="E41:E61"/>
    <mergeCell ref="F55:F61"/>
    <mergeCell ref="G55:G61"/>
    <mergeCell ref="H51:H52"/>
    <mergeCell ref="H42:H43"/>
    <mergeCell ref="H44:H45"/>
    <mergeCell ref="H46:H47"/>
    <mergeCell ref="H48:H49"/>
    <mergeCell ref="E65:E70"/>
    <mergeCell ref="C65:C70"/>
    <mergeCell ref="D65:D70"/>
    <mergeCell ref="C62:C63"/>
    <mergeCell ref="D62:D63"/>
    <mergeCell ref="J3:J4"/>
    <mergeCell ref="L5:L8"/>
    <mergeCell ref="L9:L12"/>
    <mergeCell ref="L13:L16"/>
    <mergeCell ref="M5:M8"/>
    <mergeCell ref="M9:M12"/>
    <mergeCell ref="M13:M16"/>
    <mergeCell ref="H26:H27"/>
    <mergeCell ref="F5:F6"/>
    <mergeCell ref="G5:G6"/>
    <mergeCell ref="F7:F8"/>
    <mergeCell ref="G7:G8"/>
    <mergeCell ref="F9:F10"/>
    <mergeCell ref="G9:G10"/>
    <mergeCell ref="F11:F12"/>
    <mergeCell ref="G11:G12"/>
    <mergeCell ref="F13:F14"/>
    <mergeCell ref="G13:G14"/>
    <mergeCell ref="F15:F16"/>
    <mergeCell ref="G15:G16"/>
    <mergeCell ref="I21:I22"/>
    <mergeCell ref="H21:H22"/>
    <mergeCell ref="J21:J22"/>
    <mergeCell ref="K21:K22"/>
    <mergeCell ref="K23:K25"/>
    <mergeCell ref="L23:L25"/>
    <mergeCell ref="M23:M25"/>
    <mergeCell ref="H28:H29"/>
    <mergeCell ref="H30:H31"/>
    <mergeCell ref="I26:I31"/>
    <mergeCell ref="J26:J31"/>
    <mergeCell ref="K26:K31"/>
    <mergeCell ref="L26:L31"/>
    <mergeCell ref="M26:M31"/>
    <mergeCell ref="H23:H25"/>
    <mergeCell ref="I23:I25"/>
    <mergeCell ref="J23:J25"/>
    <mergeCell ref="M36:M38"/>
    <mergeCell ref="H62:H63"/>
    <mergeCell ref="K41:K61"/>
    <mergeCell ref="J41:J61"/>
    <mergeCell ref="L41:L61"/>
    <mergeCell ref="K62:K63"/>
    <mergeCell ref="L62:L63"/>
    <mergeCell ref="K33:K34"/>
    <mergeCell ref="L33:L34"/>
    <mergeCell ref="I36:I38"/>
    <mergeCell ref="J36:J38"/>
    <mergeCell ref="K36:K38"/>
    <mergeCell ref="L36:L38"/>
    <mergeCell ref="I33:I34"/>
    <mergeCell ref="J33:J34"/>
    <mergeCell ref="M71:M76"/>
    <mergeCell ref="M65:M66"/>
    <mergeCell ref="M67:M68"/>
    <mergeCell ref="M69:M70"/>
    <mergeCell ref="J65:J70"/>
    <mergeCell ref="K65:K70"/>
    <mergeCell ref="L65:L70"/>
    <mergeCell ref="F71:F76"/>
    <mergeCell ref="G71:G76"/>
    <mergeCell ref="I71:I76"/>
    <mergeCell ref="J71:J76"/>
    <mergeCell ref="K71:K72"/>
    <mergeCell ref="K73:K74"/>
    <mergeCell ref="K75:K76"/>
    <mergeCell ref="L71:L76"/>
    <mergeCell ref="F65:F70"/>
    <mergeCell ref="G65:G70"/>
    <mergeCell ref="H65:H67"/>
    <mergeCell ref="H68:H70"/>
    <mergeCell ref="I65:I70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A6DA7-6576-49CD-99EC-87BB87204A5C}">
  <dimension ref="A1:BT330"/>
  <sheetViews>
    <sheetView workbookViewId="0">
      <selection activeCell="D17" sqref="D17"/>
    </sheetView>
  </sheetViews>
  <sheetFormatPr defaultColWidth="9" defaultRowHeight="12.75" x14ac:dyDescent="0.2"/>
  <cols>
    <col min="1" max="16384" width="9" style="30"/>
  </cols>
  <sheetData>
    <row r="1" spans="1:72" x14ac:dyDescent="0.2">
      <c r="A1" s="30" t="s">
        <v>171</v>
      </c>
      <c r="B1" s="30" t="s">
        <v>172</v>
      </c>
      <c r="C1" s="30" t="s">
        <v>173</v>
      </c>
      <c r="D1" s="30" t="s">
        <v>174</v>
      </c>
      <c r="E1" s="30" t="s">
        <v>175</v>
      </c>
      <c r="F1" s="30" t="s">
        <v>176</v>
      </c>
      <c r="G1" s="30" t="s">
        <v>177</v>
      </c>
      <c r="H1" s="30" t="s">
        <v>178</v>
      </c>
      <c r="I1" s="30" t="s">
        <v>179</v>
      </c>
      <c r="J1" s="30" t="s">
        <v>180</v>
      </c>
      <c r="K1" s="30" t="s">
        <v>181</v>
      </c>
      <c r="L1" s="30" t="s">
        <v>182</v>
      </c>
      <c r="M1" s="30" t="s">
        <v>183</v>
      </c>
      <c r="N1" s="30" t="s">
        <v>184</v>
      </c>
      <c r="O1" s="30" t="s">
        <v>185</v>
      </c>
      <c r="P1" s="30" t="s">
        <v>186</v>
      </c>
      <c r="Q1" s="30" t="s">
        <v>187</v>
      </c>
      <c r="R1" s="30" t="s">
        <v>188</v>
      </c>
      <c r="S1" s="30" t="s">
        <v>189</v>
      </c>
      <c r="T1" s="30" t="s">
        <v>190</v>
      </c>
      <c r="U1" s="30" t="s">
        <v>191</v>
      </c>
      <c r="V1" s="30" t="s">
        <v>192</v>
      </c>
      <c r="W1" s="30" t="s">
        <v>193</v>
      </c>
      <c r="X1" s="30" t="s">
        <v>194</v>
      </c>
      <c r="Y1" s="30" t="s">
        <v>195</v>
      </c>
      <c r="Z1" s="30" t="s">
        <v>196</v>
      </c>
      <c r="AA1" s="30" t="s">
        <v>197</v>
      </c>
      <c r="AB1" s="30" t="s">
        <v>198</v>
      </c>
      <c r="AC1" s="30" t="s">
        <v>199</v>
      </c>
      <c r="AD1" s="30" t="s">
        <v>200</v>
      </c>
      <c r="AE1" s="30" t="s">
        <v>201</v>
      </c>
      <c r="AF1" s="30" t="s">
        <v>202</v>
      </c>
      <c r="AG1" s="30" t="s">
        <v>203</v>
      </c>
      <c r="AH1" s="30" t="s">
        <v>204</v>
      </c>
      <c r="AI1" s="30" t="s">
        <v>205</v>
      </c>
      <c r="AJ1" s="30" t="s">
        <v>206</v>
      </c>
      <c r="AK1" s="30" t="s">
        <v>207</v>
      </c>
      <c r="AL1" s="30" t="s">
        <v>208</v>
      </c>
      <c r="AM1" s="30" t="s">
        <v>209</v>
      </c>
      <c r="AN1" s="30" t="s">
        <v>210</v>
      </c>
      <c r="AO1" s="30" t="s">
        <v>211</v>
      </c>
      <c r="AP1" s="30" t="s">
        <v>212</v>
      </c>
      <c r="AQ1" s="30" t="s">
        <v>213</v>
      </c>
      <c r="AR1" s="30" t="s">
        <v>214</v>
      </c>
      <c r="AS1" s="30" t="s">
        <v>215</v>
      </c>
      <c r="AT1" s="30" t="s">
        <v>216</v>
      </c>
      <c r="AU1" s="30" t="s">
        <v>217</v>
      </c>
      <c r="AV1" s="30" t="s">
        <v>218</v>
      </c>
      <c r="AW1" s="30" t="s">
        <v>219</v>
      </c>
      <c r="AX1" s="30" t="s">
        <v>220</v>
      </c>
      <c r="AY1" s="30" t="s">
        <v>221</v>
      </c>
      <c r="AZ1" s="30" t="s">
        <v>222</v>
      </c>
      <c r="BA1" s="30" t="s">
        <v>223</v>
      </c>
      <c r="BB1" s="30" t="s">
        <v>224</v>
      </c>
      <c r="BC1" s="30" t="s">
        <v>225</v>
      </c>
      <c r="BD1" s="30" t="s">
        <v>226</v>
      </c>
      <c r="BE1" s="30" t="s">
        <v>227</v>
      </c>
      <c r="BF1" s="30" t="s">
        <v>228</v>
      </c>
      <c r="BG1" s="30" t="s">
        <v>229</v>
      </c>
      <c r="BH1" s="30" t="s">
        <v>230</v>
      </c>
      <c r="BI1" s="30" t="s">
        <v>231</v>
      </c>
      <c r="BJ1" s="30" t="s">
        <v>232</v>
      </c>
      <c r="BK1" s="30" t="s">
        <v>233</v>
      </c>
      <c r="BL1" s="30" t="s">
        <v>234</v>
      </c>
      <c r="BM1" s="30" t="s">
        <v>235</v>
      </c>
      <c r="BN1" s="30" t="s">
        <v>236</v>
      </c>
      <c r="BO1" s="30" t="s">
        <v>237</v>
      </c>
      <c r="BP1" s="30" t="s">
        <v>238</v>
      </c>
      <c r="BQ1" s="30" t="s">
        <v>239</v>
      </c>
      <c r="BR1" s="30" t="s">
        <v>240</v>
      </c>
      <c r="BS1" s="30" t="s">
        <v>241</v>
      </c>
      <c r="BT1" s="30" t="s">
        <v>242</v>
      </c>
    </row>
    <row r="2" spans="1:72" x14ac:dyDescent="0.2">
      <c r="A2" s="30" t="s">
        <v>243</v>
      </c>
      <c r="B2" s="30" t="s">
        <v>244</v>
      </c>
      <c r="C2" s="30" t="s">
        <v>245</v>
      </c>
      <c r="D2" s="30" t="s">
        <v>245</v>
      </c>
      <c r="E2" s="30" t="s">
        <v>245</v>
      </c>
      <c r="F2" s="30" t="s">
        <v>246</v>
      </c>
      <c r="G2" s="30" t="s">
        <v>245</v>
      </c>
      <c r="H2" s="30" t="s">
        <v>245</v>
      </c>
      <c r="I2" s="30" t="s">
        <v>247</v>
      </c>
      <c r="J2" s="30" t="s">
        <v>248</v>
      </c>
      <c r="K2" s="30" t="s">
        <v>245</v>
      </c>
      <c r="L2" s="30" t="s">
        <v>245</v>
      </c>
      <c r="M2" s="30" t="s">
        <v>245</v>
      </c>
      <c r="N2" s="30" t="s">
        <v>245</v>
      </c>
      <c r="O2" s="30" t="s">
        <v>245</v>
      </c>
      <c r="P2" s="30" t="s">
        <v>245</v>
      </c>
      <c r="Q2" s="30" t="s">
        <v>245</v>
      </c>
      <c r="R2" s="30" t="s">
        <v>245</v>
      </c>
      <c r="S2" s="30" t="s">
        <v>245</v>
      </c>
      <c r="T2" s="30" t="s">
        <v>245</v>
      </c>
      <c r="U2" s="30" t="s">
        <v>245</v>
      </c>
      <c r="V2" s="30" t="s">
        <v>245</v>
      </c>
      <c r="W2" s="30" t="s">
        <v>245</v>
      </c>
      <c r="X2" s="30" t="s">
        <v>245</v>
      </c>
      <c r="Y2" s="30" t="s">
        <v>245</v>
      </c>
      <c r="Z2" s="30" t="s">
        <v>245</v>
      </c>
      <c r="AA2" s="30" t="s">
        <v>249</v>
      </c>
      <c r="AB2" s="30" t="s">
        <v>250</v>
      </c>
      <c r="AC2" s="30" t="s">
        <v>245</v>
      </c>
      <c r="AD2" s="30" t="s">
        <v>245</v>
      </c>
      <c r="AE2" s="30" t="s">
        <v>245</v>
      </c>
      <c r="AF2" s="30" t="s">
        <v>245</v>
      </c>
      <c r="AG2" s="30" t="s">
        <v>245</v>
      </c>
      <c r="AH2" s="30" t="s">
        <v>245</v>
      </c>
      <c r="AI2" s="30" t="s">
        <v>245</v>
      </c>
      <c r="AJ2" s="30" t="s">
        <v>245</v>
      </c>
      <c r="AK2" s="30" t="s">
        <v>245</v>
      </c>
      <c r="AL2" s="30" t="s">
        <v>245</v>
      </c>
      <c r="AM2" s="30" t="s">
        <v>245</v>
      </c>
      <c r="AN2" s="30" t="s">
        <v>245</v>
      </c>
      <c r="AO2" s="30" t="s">
        <v>251</v>
      </c>
      <c r="AP2" s="30" t="s">
        <v>252</v>
      </c>
      <c r="AQ2" s="30" t="s">
        <v>245</v>
      </c>
      <c r="AR2" s="30" t="s">
        <v>245</v>
      </c>
      <c r="AS2" s="30" t="s">
        <v>245</v>
      </c>
      <c r="AT2" s="30" t="s">
        <v>245</v>
      </c>
      <c r="AU2" s="30">
        <v>2009</v>
      </c>
      <c r="AV2" s="30">
        <v>40</v>
      </c>
      <c r="AW2" s="30" t="s">
        <v>253</v>
      </c>
      <c r="AX2" s="30" t="s">
        <v>245</v>
      </c>
      <c r="AY2" s="30" t="s">
        <v>245</v>
      </c>
      <c r="AZ2" s="30" t="s">
        <v>245</v>
      </c>
      <c r="BA2" s="30" t="s">
        <v>245</v>
      </c>
      <c r="BB2" s="30">
        <v>3181</v>
      </c>
      <c r="BC2" s="30">
        <v>3193</v>
      </c>
      <c r="BD2" s="30" t="s">
        <v>254</v>
      </c>
      <c r="BE2" s="30" t="s">
        <v>255</v>
      </c>
      <c r="BF2" s="30" t="str">
        <f>HYPERLINK("http://dx.doi.org/10.1080/00103620903261692","http://dx.doi.org/10.1080/00103620903261692")</f>
        <v>http://dx.doi.org/10.1080/00103620903261692</v>
      </c>
      <c r="BG2" s="30" t="s">
        <v>245</v>
      </c>
      <c r="BH2" s="30" t="s">
        <v>245</v>
      </c>
      <c r="BI2" s="30" t="s">
        <v>245</v>
      </c>
      <c r="BJ2" s="30" t="s">
        <v>245</v>
      </c>
      <c r="BK2" s="30" t="s">
        <v>245</v>
      </c>
      <c r="BL2" s="30" t="s">
        <v>245</v>
      </c>
      <c r="BM2" s="30" t="s">
        <v>245</v>
      </c>
      <c r="BN2" s="30" t="s">
        <v>245</v>
      </c>
      <c r="BO2" s="30" t="s">
        <v>245</v>
      </c>
      <c r="BP2" s="30" t="s">
        <v>245</v>
      </c>
      <c r="BQ2" s="30" t="s">
        <v>245</v>
      </c>
      <c r="BR2" s="30" t="s">
        <v>245</v>
      </c>
      <c r="BS2" s="30" t="s">
        <v>256</v>
      </c>
      <c r="BT2" s="30" t="str">
        <f>HYPERLINK("https%3A%2F%2Fwww.webofscience.com%2Fwos%2Fwoscc%2Ffull-record%2FWOS:000274285900014","View Full Record in Web of Science")</f>
        <v>View Full Record in Web of Science</v>
      </c>
    </row>
    <row r="3" spans="1:72" x14ac:dyDescent="0.2">
      <c r="A3" s="30" t="s">
        <v>243</v>
      </c>
      <c r="B3" s="30" t="s">
        <v>257</v>
      </c>
      <c r="C3" s="30" t="s">
        <v>245</v>
      </c>
      <c r="D3" s="30" t="s">
        <v>245</v>
      </c>
      <c r="E3" s="30" t="s">
        <v>245</v>
      </c>
      <c r="F3" s="30" t="s">
        <v>258</v>
      </c>
      <c r="G3" s="30" t="s">
        <v>245</v>
      </c>
      <c r="H3" s="30" t="s">
        <v>245</v>
      </c>
      <c r="I3" s="30" t="s">
        <v>259</v>
      </c>
      <c r="J3" s="30" t="s">
        <v>260</v>
      </c>
      <c r="K3" s="30" t="s">
        <v>245</v>
      </c>
      <c r="L3" s="30" t="s">
        <v>245</v>
      </c>
      <c r="M3" s="30" t="s">
        <v>245</v>
      </c>
      <c r="N3" s="30" t="s">
        <v>245</v>
      </c>
      <c r="O3" s="30" t="s">
        <v>245</v>
      </c>
      <c r="P3" s="30" t="s">
        <v>245</v>
      </c>
      <c r="Q3" s="30" t="s">
        <v>245</v>
      </c>
      <c r="R3" s="30" t="s">
        <v>245</v>
      </c>
      <c r="S3" s="30" t="s">
        <v>245</v>
      </c>
      <c r="T3" s="30" t="s">
        <v>245</v>
      </c>
      <c r="U3" s="30" t="s">
        <v>245</v>
      </c>
      <c r="V3" s="30" t="s">
        <v>245</v>
      </c>
      <c r="W3" s="30" t="s">
        <v>245</v>
      </c>
      <c r="X3" s="30" t="s">
        <v>245</v>
      </c>
      <c r="Y3" s="30" t="s">
        <v>245</v>
      </c>
      <c r="Z3" s="30" t="s">
        <v>245</v>
      </c>
      <c r="AA3" s="30" t="s">
        <v>261</v>
      </c>
      <c r="AB3" s="30" t="s">
        <v>262</v>
      </c>
      <c r="AC3" s="30" t="s">
        <v>245</v>
      </c>
      <c r="AD3" s="30" t="s">
        <v>245</v>
      </c>
      <c r="AE3" s="30" t="s">
        <v>245</v>
      </c>
      <c r="AF3" s="30" t="s">
        <v>245</v>
      </c>
      <c r="AG3" s="30" t="s">
        <v>245</v>
      </c>
      <c r="AH3" s="30" t="s">
        <v>245</v>
      </c>
      <c r="AI3" s="30" t="s">
        <v>245</v>
      </c>
      <c r="AJ3" s="30" t="s">
        <v>245</v>
      </c>
      <c r="AK3" s="30" t="s">
        <v>245</v>
      </c>
      <c r="AL3" s="30" t="s">
        <v>245</v>
      </c>
      <c r="AM3" s="30" t="s">
        <v>245</v>
      </c>
      <c r="AN3" s="30" t="s">
        <v>245</v>
      </c>
      <c r="AO3" s="30" t="s">
        <v>263</v>
      </c>
      <c r="AP3" s="30" t="s">
        <v>264</v>
      </c>
      <c r="AQ3" s="30" t="s">
        <v>245</v>
      </c>
      <c r="AR3" s="30" t="s">
        <v>245</v>
      </c>
      <c r="AS3" s="30" t="s">
        <v>245</v>
      </c>
      <c r="AT3" s="30" t="s">
        <v>265</v>
      </c>
      <c r="AU3" s="30">
        <v>2015</v>
      </c>
      <c r="AV3" s="30">
        <v>48</v>
      </c>
      <c r="AW3" s="30">
        <v>6</v>
      </c>
      <c r="AX3" s="30" t="s">
        <v>245</v>
      </c>
      <c r="AY3" s="30" t="s">
        <v>245</v>
      </c>
      <c r="AZ3" s="30" t="s">
        <v>245</v>
      </c>
      <c r="BA3" s="30" t="s">
        <v>245</v>
      </c>
      <c r="BB3" s="30">
        <v>608</v>
      </c>
      <c r="BC3" s="30">
        <v>619</v>
      </c>
      <c r="BD3" s="30" t="s">
        <v>245</v>
      </c>
      <c r="BE3" s="30" t="s">
        <v>266</v>
      </c>
      <c r="BF3" s="30" t="str">
        <f>HYPERLINK("http://dx.doi.org/10.1134/S1064229315060022","http://dx.doi.org/10.1134/S1064229315060022")</f>
        <v>http://dx.doi.org/10.1134/S1064229315060022</v>
      </c>
      <c r="BG3" s="30" t="s">
        <v>245</v>
      </c>
      <c r="BH3" s="30" t="s">
        <v>245</v>
      </c>
      <c r="BI3" s="30" t="s">
        <v>245</v>
      </c>
      <c r="BJ3" s="30" t="s">
        <v>245</v>
      </c>
      <c r="BK3" s="30" t="s">
        <v>245</v>
      </c>
      <c r="BL3" s="30" t="s">
        <v>245</v>
      </c>
      <c r="BM3" s="30" t="s">
        <v>245</v>
      </c>
      <c r="BN3" s="30" t="s">
        <v>245</v>
      </c>
      <c r="BO3" s="30" t="s">
        <v>245</v>
      </c>
      <c r="BP3" s="30" t="s">
        <v>245</v>
      </c>
      <c r="BQ3" s="30" t="s">
        <v>245</v>
      </c>
      <c r="BR3" s="30" t="s">
        <v>245</v>
      </c>
      <c r="BS3" s="30" t="s">
        <v>267</v>
      </c>
      <c r="BT3" s="30" t="str">
        <f>HYPERLINK("https%3A%2F%2Fwww.webofscience.com%2Fwos%2Fwoscc%2Ffull-record%2FWOS:000356367100007","View Full Record in Web of Science")</f>
        <v>View Full Record in Web of Science</v>
      </c>
    </row>
    <row r="4" spans="1:72" x14ac:dyDescent="0.2">
      <c r="A4" s="30" t="s">
        <v>243</v>
      </c>
      <c r="B4" s="30" t="s">
        <v>268</v>
      </c>
      <c r="C4" s="30" t="s">
        <v>245</v>
      </c>
      <c r="D4" s="30" t="s">
        <v>245</v>
      </c>
      <c r="E4" s="30" t="s">
        <v>245</v>
      </c>
      <c r="F4" s="30" t="s">
        <v>269</v>
      </c>
      <c r="G4" s="30" t="s">
        <v>245</v>
      </c>
      <c r="H4" s="30" t="s">
        <v>245</v>
      </c>
      <c r="I4" s="30" t="s">
        <v>270</v>
      </c>
      <c r="J4" s="30" t="s">
        <v>271</v>
      </c>
      <c r="K4" s="30" t="s">
        <v>245</v>
      </c>
      <c r="L4" s="30" t="s">
        <v>245</v>
      </c>
      <c r="M4" s="30" t="s">
        <v>245</v>
      </c>
      <c r="N4" s="30" t="s">
        <v>245</v>
      </c>
      <c r="O4" s="30" t="s">
        <v>245</v>
      </c>
      <c r="P4" s="30" t="s">
        <v>245</v>
      </c>
      <c r="Q4" s="30" t="s">
        <v>245</v>
      </c>
      <c r="R4" s="30" t="s">
        <v>245</v>
      </c>
      <c r="S4" s="30" t="s">
        <v>245</v>
      </c>
      <c r="T4" s="30" t="s">
        <v>245</v>
      </c>
      <c r="U4" s="30" t="s">
        <v>245</v>
      </c>
      <c r="V4" s="30" t="s">
        <v>245</v>
      </c>
      <c r="W4" s="30" t="s">
        <v>245</v>
      </c>
      <c r="X4" s="30" t="s">
        <v>245</v>
      </c>
      <c r="Y4" s="30" t="s">
        <v>245</v>
      </c>
      <c r="Z4" s="30" t="s">
        <v>245</v>
      </c>
      <c r="AA4" s="30" t="s">
        <v>272</v>
      </c>
      <c r="AB4" s="30" t="s">
        <v>273</v>
      </c>
      <c r="AC4" s="30" t="s">
        <v>245</v>
      </c>
      <c r="AD4" s="30" t="s">
        <v>245</v>
      </c>
      <c r="AE4" s="30" t="s">
        <v>245</v>
      </c>
      <c r="AF4" s="30" t="s">
        <v>245</v>
      </c>
      <c r="AG4" s="30" t="s">
        <v>245</v>
      </c>
      <c r="AH4" s="30" t="s">
        <v>245</v>
      </c>
      <c r="AI4" s="30" t="s">
        <v>245</v>
      </c>
      <c r="AJ4" s="30" t="s">
        <v>245</v>
      </c>
      <c r="AK4" s="30" t="s">
        <v>245</v>
      </c>
      <c r="AL4" s="30" t="s">
        <v>245</v>
      </c>
      <c r="AM4" s="30" t="s">
        <v>245</v>
      </c>
      <c r="AN4" s="30" t="s">
        <v>245</v>
      </c>
      <c r="AO4" s="30" t="s">
        <v>274</v>
      </c>
      <c r="AP4" s="30" t="s">
        <v>275</v>
      </c>
      <c r="AQ4" s="30" t="s">
        <v>245</v>
      </c>
      <c r="AR4" s="30" t="s">
        <v>245</v>
      </c>
      <c r="AS4" s="30" t="s">
        <v>245</v>
      </c>
      <c r="AT4" s="30" t="s">
        <v>276</v>
      </c>
      <c r="AU4" s="30">
        <v>2023</v>
      </c>
      <c r="AV4" s="30">
        <v>57</v>
      </c>
      <c r="AW4" s="30">
        <v>14</v>
      </c>
      <c r="AX4" s="30" t="s">
        <v>245</v>
      </c>
      <c r="AY4" s="30" t="s">
        <v>245</v>
      </c>
      <c r="AZ4" s="30" t="s">
        <v>245</v>
      </c>
      <c r="BA4" s="30" t="s">
        <v>245</v>
      </c>
      <c r="BB4" s="30">
        <v>5655</v>
      </c>
      <c r="BC4" s="30">
        <v>5665</v>
      </c>
      <c r="BD4" s="30" t="s">
        <v>245</v>
      </c>
      <c r="BE4" s="30" t="s">
        <v>277</v>
      </c>
      <c r="BF4" s="30" t="str">
        <f>HYPERLINK("http://dx.doi.org/10.1021/acs.est.2c09457","http://dx.doi.org/10.1021/acs.est.2c09457")</f>
        <v>http://dx.doi.org/10.1021/acs.est.2c09457</v>
      </c>
      <c r="BG4" s="30" t="s">
        <v>245</v>
      </c>
      <c r="BH4" s="30" t="s">
        <v>245</v>
      </c>
      <c r="BI4" s="30" t="s">
        <v>245</v>
      </c>
      <c r="BJ4" s="30" t="s">
        <v>245</v>
      </c>
      <c r="BK4" s="30" t="s">
        <v>245</v>
      </c>
      <c r="BL4" s="30" t="s">
        <v>245</v>
      </c>
      <c r="BM4" s="30" t="s">
        <v>245</v>
      </c>
      <c r="BN4" s="30">
        <v>36976621</v>
      </c>
      <c r="BO4" s="30" t="s">
        <v>245</v>
      </c>
      <c r="BP4" s="30" t="s">
        <v>245</v>
      </c>
      <c r="BQ4" s="30" t="s">
        <v>245</v>
      </c>
      <c r="BR4" s="30" t="s">
        <v>245</v>
      </c>
      <c r="BS4" s="30" t="s">
        <v>278</v>
      </c>
      <c r="BT4" s="30" t="str">
        <f>HYPERLINK("https%3A%2F%2Fwww.webofscience.com%2Fwos%2Fwoscc%2Ffull-record%2FWOS:000973007800001","View Full Record in Web of Science")</f>
        <v>View Full Record in Web of Science</v>
      </c>
    </row>
    <row r="5" spans="1:72" x14ac:dyDescent="0.2">
      <c r="A5" s="30" t="s">
        <v>243</v>
      </c>
      <c r="B5" s="30" t="s">
        <v>279</v>
      </c>
      <c r="C5" s="30" t="s">
        <v>245</v>
      </c>
      <c r="D5" s="30" t="s">
        <v>245</v>
      </c>
      <c r="E5" s="30" t="s">
        <v>245</v>
      </c>
      <c r="F5" s="30" t="s">
        <v>280</v>
      </c>
      <c r="G5" s="30" t="s">
        <v>245</v>
      </c>
      <c r="H5" s="30" t="s">
        <v>245</v>
      </c>
      <c r="I5" s="30" t="s">
        <v>281</v>
      </c>
      <c r="J5" s="30" t="s">
        <v>282</v>
      </c>
      <c r="K5" s="30" t="s">
        <v>245</v>
      </c>
      <c r="L5" s="30" t="s">
        <v>245</v>
      </c>
      <c r="M5" s="30" t="s">
        <v>245</v>
      </c>
      <c r="N5" s="30" t="s">
        <v>245</v>
      </c>
      <c r="O5" s="30" t="s">
        <v>245</v>
      </c>
      <c r="P5" s="30" t="s">
        <v>245</v>
      </c>
      <c r="Q5" s="30" t="s">
        <v>245</v>
      </c>
      <c r="R5" s="30" t="s">
        <v>245</v>
      </c>
      <c r="S5" s="30" t="s">
        <v>245</v>
      </c>
      <c r="T5" s="30" t="s">
        <v>245</v>
      </c>
      <c r="U5" s="30" t="s">
        <v>245</v>
      </c>
      <c r="V5" s="30" t="s">
        <v>245</v>
      </c>
      <c r="W5" s="30" t="s">
        <v>245</v>
      </c>
      <c r="X5" s="30" t="s">
        <v>245</v>
      </c>
      <c r="Y5" s="30" t="s">
        <v>245</v>
      </c>
      <c r="Z5" s="30" t="s">
        <v>245</v>
      </c>
      <c r="AA5" s="30" t="s">
        <v>283</v>
      </c>
      <c r="AB5" s="30" t="s">
        <v>284</v>
      </c>
      <c r="AC5" s="30" t="s">
        <v>245</v>
      </c>
      <c r="AD5" s="30" t="s">
        <v>245</v>
      </c>
      <c r="AE5" s="30" t="s">
        <v>245</v>
      </c>
      <c r="AF5" s="30" t="s">
        <v>245</v>
      </c>
      <c r="AG5" s="30" t="s">
        <v>245</v>
      </c>
      <c r="AH5" s="30" t="s">
        <v>245</v>
      </c>
      <c r="AI5" s="30" t="s">
        <v>245</v>
      </c>
      <c r="AJ5" s="30" t="s">
        <v>245</v>
      </c>
      <c r="AK5" s="30" t="s">
        <v>245</v>
      </c>
      <c r="AL5" s="30" t="s">
        <v>245</v>
      </c>
      <c r="AM5" s="30" t="s">
        <v>245</v>
      </c>
      <c r="AN5" s="30" t="s">
        <v>245</v>
      </c>
      <c r="AO5" s="30" t="s">
        <v>285</v>
      </c>
      <c r="AP5" s="30" t="s">
        <v>245</v>
      </c>
      <c r="AQ5" s="30" t="s">
        <v>245</v>
      </c>
      <c r="AR5" s="30" t="s">
        <v>245</v>
      </c>
      <c r="AS5" s="30" t="s">
        <v>245</v>
      </c>
      <c r="AT5" s="30" t="s">
        <v>286</v>
      </c>
      <c r="AU5" s="30">
        <v>2008</v>
      </c>
      <c r="AV5" s="30">
        <v>40</v>
      </c>
      <c r="AW5" s="30">
        <v>1</v>
      </c>
      <c r="AX5" s="30" t="s">
        <v>245</v>
      </c>
      <c r="AY5" s="30" t="s">
        <v>245</v>
      </c>
      <c r="AZ5" s="30" t="s">
        <v>245</v>
      </c>
      <c r="BA5" s="30" t="s">
        <v>245</v>
      </c>
      <c r="BB5" s="30">
        <v>142</v>
      </c>
      <c r="BC5" s="30">
        <v>151</v>
      </c>
      <c r="BD5" s="30" t="s">
        <v>245</v>
      </c>
      <c r="BE5" s="30" t="s">
        <v>287</v>
      </c>
      <c r="BF5" s="30" t="str">
        <f>HYPERLINK("http://dx.doi.org/10.1016/j.soilbio.2007.07.016","http://dx.doi.org/10.1016/j.soilbio.2007.07.016")</f>
        <v>http://dx.doi.org/10.1016/j.soilbio.2007.07.016</v>
      </c>
      <c r="BG5" s="30" t="s">
        <v>245</v>
      </c>
      <c r="BH5" s="30" t="s">
        <v>245</v>
      </c>
      <c r="BI5" s="30" t="s">
        <v>245</v>
      </c>
      <c r="BJ5" s="30" t="s">
        <v>245</v>
      </c>
      <c r="BK5" s="30" t="s">
        <v>245</v>
      </c>
      <c r="BL5" s="30" t="s">
        <v>245</v>
      </c>
      <c r="BM5" s="30" t="s">
        <v>245</v>
      </c>
      <c r="BN5" s="30" t="s">
        <v>245</v>
      </c>
      <c r="BO5" s="30" t="s">
        <v>245</v>
      </c>
      <c r="BP5" s="30" t="s">
        <v>245</v>
      </c>
      <c r="BQ5" s="30" t="s">
        <v>245</v>
      </c>
      <c r="BR5" s="30" t="s">
        <v>245</v>
      </c>
      <c r="BS5" s="30" t="s">
        <v>288</v>
      </c>
      <c r="BT5" s="30" t="str">
        <f>HYPERLINK("https%3A%2F%2Fwww.webofscience.com%2Fwos%2Fwoscc%2Ffull-record%2FWOS:000251242000014","View Full Record in Web of Science")</f>
        <v>View Full Record in Web of Science</v>
      </c>
    </row>
    <row r="6" spans="1:72" x14ac:dyDescent="0.2">
      <c r="A6" s="30" t="s">
        <v>243</v>
      </c>
      <c r="B6" s="30" t="s">
        <v>289</v>
      </c>
      <c r="C6" s="30" t="s">
        <v>245</v>
      </c>
      <c r="D6" s="30" t="s">
        <v>245</v>
      </c>
      <c r="E6" s="30" t="s">
        <v>245</v>
      </c>
      <c r="F6" s="30" t="s">
        <v>290</v>
      </c>
      <c r="G6" s="30" t="s">
        <v>245</v>
      </c>
      <c r="H6" s="30" t="s">
        <v>245</v>
      </c>
      <c r="I6" s="30" t="s">
        <v>291</v>
      </c>
      <c r="J6" s="30" t="s">
        <v>292</v>
      </c>
      <c r="K6" s="30" t="s">
        <v>245</v>
      </c>
      <c r="L6" s="30" t="s">
        <v>245</v>
      </c>
      <c r="M6" s="30" t="s">
        <v>245</v>
      </c>
      <c r="N6" s="30" t="s">
        <v>245</v>
      </c>
      <c r="O6" s="30" t="s">
        <v>245</v>
      </c>
      <c r="P6" s="30" t="s">
        <v>245</v>
      </c>
      <c r="Q6" s="30" t="s">
        <v>245</v>
      </c>
      <c r="R6" s="30" t="s">
        <v>245</v>
      </c>
      <c r="S6" s="30" t="s">
        <v>245</v>
      </c>
      <c r="T6" s="30" t="s">
        <v>245</v>
      </c>
      <c r="U6" s="30" t="s">
        <v>245</v>
      </c>
      <c r="V6" s="30" t="s">
        <v>245</v>
      </c>
      <c r="W6" s="30" t="s">
        <v>245</v>
      </c>
      <c r="X6" s="30" t="s">
        <v>245</v>
      </c>
      <c r="Y6" s="30" t="s">
        <v>245</v>
      </c>
      <c r="Z6" s="30" t="s">
        <v>245</v>
      </c>
      <c r="AA6" s="30" t="s">
        <v>293</v>
      </c>
      <c r="AB6" s="30" t="s">
        <v>294</v>
      </c>
      <c r="AC6" s="30" t="s">
        <v>245</v>
      </c>
      <c r="AD6" s="30" t="s">
        <v>245</v>
      </c>
      <c r="AE6" s="30" t="s">
        <v>245</v>
      </c>
      <c r="AF6" s="30" t="s">
        <v>245</v>
      </c>
      <c r="AG6" s="30" t="s">
        <v>245</v>
      </c>
      <c r="AH6" s="30" t="s">
        <v>245</v>
      </c>
      <c r="AI6" s="30" t="s">
        <v>245</v>
      </c>
      <c r="AJ6" s="30" t="s">
        <v>245</v>
      </c>
      <c r="AK6" s="30" t="s">
        <v>245</v>
      </c>
      <c r="AL6" s="30" t="s">
        <v>245</v>
      </c>
      <c r="AM6" s="30" t="s">
        <v>245</v>
      </c>
      <c r="AN6" s="30" t="s">
        <v>245</v>
      </c>
      <c r="AO6" s="30" t="s">
        <v>295</v>
      </c>
      <c r="AP6" s="30" t="s">
        <v>296</v>
      </c>
      <c r="AQ6" s="30" t="s">
        <v>245</v>
      </c>
      <c r="AR6" s="30" t="s">
        <v>245</v>
      </c>
      <c r="AS6" s="30" t="s">
        <v>245</v>
      </c>
      <c r="AT6" s="30" t="s">
        <v>297</v>
      </c>
      <c r="AU6" s="30">
        <v>2017</v>
      </c>
      <c r="AV6" s="30">
        <v>27</v>
      </c>
      <c r="AW6" s="30">
        <v>5</v>
      </c>
      <c r="AX6" s="30" t="s">
        <v>245</v>
      </c>
      <c r="AY6" s="30" t="s">
        <v>245</v>
      </c>
      <c r="AZ6" s="30" t="s">
        <v>298</v>
      </c>
      <c r="BA6" s="30" t="s">
        <v>245</v>
      </c>
      <c r="BB6" s="30">
        <v>868</v>
      </c>
      <c r="BC6" s="30">
        <v>876</v>
      </c>
      <c r="BD6" s="30" t="s">
        <v>245</v>
      </c>
      <c r="BE6" s="30" t="s">
        <v>299</v>
      </c>
      <c r="BF6" s="30" t="str">
        <f>HYPERLINK("http://dx.doi.org/10.1016/S1002-0160(17)60453-3","http://dx.doi.org/10.1016/S1002-0160(17)60453-3")</f>
        <v>http://dx.doi.org/10.1016/S1002-0160(17)60453-3</v>
      </c>
      <c r="BG6" s="30" t="s">
        <v>245</v>
      </c>
      <c r="BH6" s="30" t="s">
        <v>245</v>
      </c>
      <c r="BI6" s="30" t="s">
        <v>245</v>
      </c>
      <c r="BJ6" s="30" t="s">
        <v>245</v>
      </c>
      <c r="BK6" s="30" t="s">
        <v>245</v>
      </c>
      <c r="BL6" s="30" t="s">
        <v>245</v>
      </c>
      <c r="BM6" s="30" t="s">
        <v>245</v>
      </c>
      <c r="BN6" s="30" t="s">
        <v>245</v>
      </c>
      <c r="BO6" s="30" t="s">
        <v>245</v>
      </c>
      <c r="BP6" s="30" t="s">
        <v>245</v>
      </c>
      <c r="BQ6" s="30" t="s">
        <v>245</v>
      </c>
      <c r="BR6" s="30" t="s">
        <v>245</v>
      </c>
      <c r="BS6" s="30" t="s">
        <v>300</v>
      </c>
      <c r="BT6" s="30" t="str">
        <f>HYPERLINK("https%3A%2F%2Fwww.webofscience.com%2Fwos%2Fwoscc%2Ffull-record%2FWOS:000416880300008","View Full Record in Web of Science")</f>
        <v>View Full Record in Web of Science</v>
      </c>
    </row>
    <row r="7" spans="1:72" x14ac:dyDescent="0.2">
      <c r="A7" s="30" t="s">
        <v>243</v>
      </c>
      <c r="B7" s="30" t="s">
        <v>301</v>
      </c>
      <c r="C7" s="30" t="s">
        <v>245</v>
      </c>
      <c r="D7" s="30" t="s">
        <v>245</v>
      </c>
      <c r="E7" s="30" t="s">
        <v>245</v>
      </c>
      <c r="F7" s="30" t="s">
        <v>302</v>
      </c>
      <c r="G7" s="30" t="s">
        <v>245</v>
      </c>
      <c r="H7" s="30" t="s">
        <v>245</v>
      </c>
      <c r="I7" s="30" t="s">
        <v>303</v>
      </c>
      <c r="J7" s="30" t="s">
        <v>304</v>
      </c>
      <c r="K7" s="30" t="s">
        <v>245</v>
      </c>
      <c r="L7" s="30" t="s">
        <v>245</v>
      </c>
      <c r="M7" s="30" t="s">
        <v>245</v>
      </c>
      <c r="N7" s="30" t="s">
        <v>245</v>
      </c>
      <c r="O7" s="30" t="s">
        <v>245</v>
      </c>
      <c r="P7" s="30" t="s">
        <v>245</v>
      </c>
      <c r="Q7" s="30" t="s">
        <v>245</v>
      </c>
      <c r="R7" s="30" t="s">
        <v>245</v>
      </c>
      <c r="S7" s="30" t="s">
        <v>245</v>
      </c>
      <c r="T7" s="30" t="s">
        <v>245</v>
      </c>
      <c r="U7" s="30" t="s">
        <v>245</v>
      </c>
      <c r="V7" s="30" t="s">
        <v>245</v>
      </c>
      <c r="W7" s="30" t="s">
        <v>245</v>
      </c>
      <c r="X7" s="30" t="s">
        <v>245</v>
      </c>
      <c r="Y7" s="30" t="s">
        <v>245</v>
      </c>
      <c r="Z7" s="30" t="s">
        <v>245</v>
      </c>
      <c r="AA7" s="30" t="s">
        <v>305</v>
      </c>
      <c r="AB7" s="30" t="s">
        <v>306</v>
      </c>
      <c r="AC7" s="30" t="s">
        <v>245</v>
      </c>
      <c r="AD7" s="30" t="s">
        <v>245</v>
      </c>
      <c r="AE7" s="30" t="s">
        <v>245</v>
      </c>
      <c r="AF7" s="30" t="s">
        <v>245</v>
      </c>
      <c r="AG7" s="30" t="s">
        <v>245</v>
      </c>
      <c r="AH7" s="30" t="s">
        <v>245</v>
      </c>
      <c r="AI7" s="30" t="s">
        <v>245</v>
      </c>
      <c r="AJ7" s="30" t="s">
        <v>245</v>
      </c>
      <c r="AK7" s="30" t="s">
        <v>245</v>
      </c>
      <c r="AL7" s="30" t="s">
        <v>245</v>
      </c>
      <c r="AM7" s="30" t="s">
        <v>245</v>
      </c>
      <c r="AN7" s="30" t="s">
        <v>245</v>
      </c>
      <c r="AO7" s="30" t="s">
        <v>307</v>
      </c>
      <c r="AP7" s="30" t="s">
        <v>308</v>
      </c>
      <c r="AQ7" s="30" t="s">
        <v>245</v>
      </c>
      <c r="AR7" s="30" t="s">
        <v>245</v>
      </c>
      <c r="AS7" s="30" t="s">
        <v>245</v>
      </c>
      <c r="AT7" s="30" t="s">
        <v>245</v>
      </c>
      <c r="AU7" s="30">
        <v>2018</v>
      </c>
      <c r="AV7" s="30">
        <v>64</v>
      </c>
      <c r="AW7" s="30">
        <v>1</v>
      </c>
      <c r="AX7" s="30" t="s">
        <v>245</v>
      </c>
      <c r="AY7" s="30" t="s">
        <v>245</v>
      </c>
      <c r="AZ7" s="30" t="s">
        <v>245</v>
      </c>
      <c r="BA7" s="30" t="s">
        <v>245</v>
      </c>
      <c r="BB7" s="30">
        <v>31</v>
      </c>
      <c r="BC7" s="30">
        <v>38</v>
      </c>
      <c r="BD7" s="30" t="s">
        <v>245</v>
      </c>
      <c r="BE7" s="30" t="s">
        <v>309</v>
      </c>
      <c r="BF7" s="30" t="str">
        <f>HYPERLINK("http://dx.doi.org/10.1080/00380768.2017.1399044","http://dx.doi.org/10.1080/00380768.2017.1399044")</f>
        <v>http://dx.doi.org/10.1080/00380768.2017.1399044</v>
      </c>
      <c r="BG7" s="30" t="s">
        <v>245</v>
      </c>
      <c r="BH7" s="30" t="s">
        <v>245</v>
      </c>
      <c r="BI7" s="30" t="s">
        <v>245</v>
      </c>
      <c r="BJ7" s="30" t="s">
        <v>245</v>
      </c>
      <c r="BK7" s="30" t="s">
        <v>245</v>
      </c>
      <c r="BL7" s="30" t="s">
        <v>245</v>
      </c>
      <c r="BM7" s="30" t="s">
        <v>245</v>
      </c>
      <c r="BN7" s="30" t="s">
        <v>245</v>
      </c>
      <c r="BO7" s="30" t="s">
        <v>245</v>
      </c>
      <c r="BP7" s="30" t="s">
        <v>245</v>
      </c>
      <c r="BQ7" s="30" t="s">
        <v>245</v>
      </c>
      <c r="BR7" s="30" t="s">
        <v>245</v>
      </c>
      <c r="BS7" s="30" t="s">
        <v>310</v>
      </c>
      <c r="BT7" s="30" t="str">
        <f>HYPERLINK("https%3A%2F%2Fwww.webofscience.com%2Fwos%2Fwoscc%2Ffull-record%2FWOS:000424108000005","View Full Record in Web of Science")</f>
        <v>View Full Record in Web of Science</v>
      </c>
    </row>
    <row r="8" spans="1:72" x14ac:dyDescent="0.2">
      <c r="A8" s="30" t="s">
        <v>243</v>
      </c>
      <c r="B8" s="30" t="s">
        <v>311</v>
      </c>
      <c r="C8" s="30" t="s">
        <v>245</v>
      </c>
      <c r="D8" s="30" t="s">
        <v>245</v>
      </c>
      <c r="E8" s="30" t="s">
        <v>245</v>
      </c>
      <c r="F8" s="30" t="s">
        <v>312</v>
      </c>
      <c r="G8" s="30" t="s">
        <v>245</v>
      </c>
      <c r="H8" s="30" t="s">
        <v>245</v>
      </c>
      <c r="I8" s="30" t="s">
        <v>313</v>
      </c>
      <c r="J8" s="30" t="s">
        <v>314</v>
      </c>
      <c r="K8" s="30" t="s">
        <v>245</v>
      </c>
      <c r="L8" s="30" t="s">
        <v>245</v>
      </c>
      <c r="M8" s="30" t="s">
        <v>245</v>
      </c>
      <c r="N8" s="30" t="s">
        <v>245</v>
      </c>
      <c r="O8" s="30" t="s">
        <v>245</v>
      </c>
      <c r="P8" s="30" t="s">
        <v>245</v>
      </c>
      <c r="Q8" s="30" t="s">
        <v>245</v>
      </c>
      <c r="R8" s="30" t="s">
        <v>245</v>
      </c>
      <c r="S8" s="30" t="s">
        <v>245</v>
      </c>
      <c r="T8" s="30" t="s">
        <v>245</v>
      </c>
      <c r="U8" s="30" t="s">
        <v>245</v>
      </c>
      <c r="V8" s="30" t="s">
        <v>245</v>
      </c>
      <c r="W8" s="30" t="s">
        <v>245</v>
      </c>
      <c r="X8" s="30" t="s">
        <v>245</v>
      </c>
      <c r="Y8" s="30" t="s">
        <v>245</v>
      </c>
      <c r="Z8" s="30" t="s">
        <v>245</v>
      </c>
      <c r="AA8" s="30" t="s">
        <v>315</v>
      </c>
      <c r="AB8" s="30" t="s">
        <v>316</v>
      </c>
      <c r="AC8" s="30" t="s">
        <v>245</v>
      </c>
      <c r="AD8" s="30" t="s">
        <v>245</v>
      </c>
      <c r="AE8" s="30" t="s">
        <v>245</v>
      </c>
      <c r="AF8" s="30" t="s">
        <v>245</v>
      </c>
      <c r="AG8" s="30" t="s">
        <v>245</v>
      </c>
      <c r="AH8" s="30" t="s">
        <v>245</v>
      </c>
      <c r="AI8" s="30" t="s">
        <v>245</v>
      </c>
      <c r="AJ8" s="30" t="s">
        <v>245</v>
      </c>
      <c r="AK8" s="30" t="s">
        <v>245</v>
      </c>
      <c r="AL8" s="30" t="s">
        <v>245</v>
      </c>
      <c r="AM8" s="30" t="s">
        <v>245</v>
      </c>
      <c r="AN8" s="30" t="s">
        <v>245</v>
      </c>
      <c r="AO8" s="30" t="s">
        <v>317</v>
      </c>
      <c r="AP8" s="30" t="s">
        <v>318</v>
      </c>
      <c r="AQ8" s="30" t="s">
        <v>245</v>
      </c>
      <c r="AR8" s="30" t="s">
        <v>245</v>
      </c>
      <c r="AS8" s="30" t="s">
        <v>245</v>
      </c>
      <c r="AT8" s="30" t="s">
        <v>319</v>
      </c>
      <c r="AU8" s="30">
        <v>2023</v>
      </c>
      <c r="AV8" s="30" t="s">
        <v>245</v>
      </c>
      <c r="AW8" s="30" t="s">
        <v>245</v>
      </c>
      <c r="AX8" s="30" t="s">
        <v>245</v>
      </c>
      <c r="AY8" s="30" t="s">
        <v>245</v>
      </c>
      <c r="AZ8" s="30" t="s">
        <v>245</v>
      </c>
      <c r="BA8" s="30" t="s">
        <v>245</v>
      </c>
      <c r="BB8" s="30" t="s">
        <v>245</v>
      </c>
      <c r="BC8" s="30" t="s">
        <v>245</v>
      </c>
      <c r="BD8" s="30" t="s">
        <v>245</v>
      </c>
      <c r="BE8" s="30" t="s">
        <v>320</v>
      </c>
      <c r="BF8" s="30" t="str">
        <f>HYPERLINK("http://dx.doi.org/10.1080/00288233.2023.2277916","http://dx.doi.org/10.1080/00288233.2023.2277916")</f>
        <v>http://dx.doi.org/10.1080/00288233.2023.2277916</v>
      </c>
      <c r="BG8" s="30" t="s">
        <v>245</v>
      </c>
      <c r="BH8" s="30" t="s">
        <v>321</v>
      </c>
      <c r="BI8" s="30" t="s">
        <v>245</v>
      </c>
      <c r="BJ8" s="30" t="s">
        <v>245</v>
      </c>
      <c r="BK8" s="30" t="s">
        <v>245</v>
      </c>
      <c r="BL8" s="30" t="s">
        <v>245</v>
      </c>
      <c r="BM8" s="30" t="s">
        <v>245</v>
      </c>
      <c r="BN8" s="30" t="s">
        <v>245</v>
      </c>
      <c r="BO8" s="30" t="s">
        <v>245</v>
      </c>
      <c r="BP8" s="30" t="s">
        <v>245</v>
      </c>
      <c r="BQ8" s="30" t="s">
        <v>245</v>
      </c>
      <c r="BR8" s="30" t="s">
        <v>245</v>
      </c>
      <c r="BS8" s="30" t="s">
        <v>322</v>
      </c>
      <c r="BT8" s="30" t="str">
        <f>HYPERLINK("https%3A%2F%2Fwww.webofscience.com%2Fwos%2Fwoscc%2Ffull-record%2FWOS:001096454700001","View Full Record in Web of Science")</f>
        <v>View Full Record in Web of Science</v>
      </c>
    </row>
    <row r="9" spans="1:72" x14ac:dyDescent="0.2">
      <c r="A9" s="30" t="s">
        <v>243</v>
      </c>
      <c r="B9" s="30" t="s">
        <v>323</v>
      </c>
      <c r="C9" s="30" t="s">
        <v>245</v>
      </c>
      <c r="D9" s="30" t="s">
        <v>245</v>
      </c>
      <c r="E9" s="30" t="s">
        <v>245</v>
      </c>
      <c r="F9" s="30" t="s">
        <v>324</v>
      </c>
      <c r="G9" s="30" t="s">
        <v>245</v>
      </c>
      <c r="H9" s="30" t="s">
        <v>245</v>
      </c>
      <c r="I9" s="30" t="s">
        <v>325</v>
      </c>
      <c r="J9" s="30" t="s">
        <v>326</v>
      </c>
      <c r="K9" s="30" t="s">
        <v>245</v>
      </c>
      <c r="L9" s="30" t="s">
        <v>245</v>
      </c>
      <c r="M9" s="30" t="s">
        <v>245</v>
      </c>
      <c r="N9" s="30" t="s">
        <v>245</v>
      </c>
      <c r="O9" s="30" t="s">
        <v>245</v>
      </c>
      <c r="P9" s="30" t="s">
        <v>245</v>
      </c>
      <c r="Q9" s="30" t="s">
        <v>245</v>
      </c>
      <c r="R9" s="30" t="s">
        <v>245</v>
      </c>
      <c r="S9" s="30" t="s">
        <v>245</v>
      </c>
      <c r="T9" s="30" t="s">
        <v>245</v>
      </c>
      <c r="U9" s="30" t="s">
        <v>245</v>
      </c>
      <c r="V9" s="30" t="s">
        <v>245</v>
      </c>
      <c r="W9" s="30" t="s">
        <v>245</v>
      </c>
      <c r="X9" s="30" t="s">
        <v>245</v>
      </c>
      <c r="Y9" s="30" t="s">
        <v>245</v>
      </c>
      <c r="Z9" s="30" t="s">
        <v>245</v>
      </c>
      <c r="AA9" s="30" t="s">
        <v>327</v>
      </c>
      <c r="AB9" s="30" t="s">
        <v>328</v>
      </c>
      <c r="AC9" s="30" t="s">
        <v>245</v>
      </c>
      <c r="AD9" s="30" t="s">
        <v>245</v>
      </c>
      <c r="AE9" s="30" t="s">
        <v>245</v>
      </c>
      <c r="AF9" s="30" t="s">
        <v>245</v>
      </c>
      <c r="AG9" s="30" t="s">
        <v>245</v>
      </c>
      <c r="AH9" s="30" t="s">
        <v>245</v>
      </c>
      <c r="AI9" s="30" t="s">
        <v>245</v>
      </c>
      <c r="AJ9" s="30" t="s">
        <v>245</v>
      </c>
      <c r="AK9" s="30" t="s">
        <v>245</v>
      </c>
      <c r="AL9" s="30" t="s">
        <v>245</v>
      </c>
      <c r="AM9" s="30" t="s">
        <v>245</v>
      </c>
      <c r="AN9" s="30" t="s">
        <v>245</v>
      </c>
      <c r="AO9" s="30" t="s">
        <v>329</v>
      </c>
      <c r="AP9" s="30" t="s">
        <v>330</v>
      </c>
      <c r="AQ9" s="30" t="s">
        <v>245</v>
      </c>
      <c r="AR9" s="30" t="s">
        <v>245</v>
      </c>
      <c r="AS9" s="30" t="s">
        <v>245</v>
      </c>
      <c r="AT9" s="30" t="s">
        <v>331</v>
      </c>
      <c r="AU9" s="30">
        <v>2020</v>
      </c>
      <c r="AV9" s="30">
        <v>192</v>
      </c>
      <c r="AW9" s="30">
        <v>12</v>
      </c>
      <c r="AX9" s="30" t="s">
        <v>245</v>
      </c>
      <c r="AY9" s="30" t="s">
        <v>245</v>
      </c>
      <c r="AZ9" s="30" t="s">
        <v>245</v>
      </c>
      <c r="BA9" s="30" t="s">
        <v>245</v>
      </c>
      <c r="BB9" s="30" t="s">
        <v>245</v>
      </c>
      <c r="BC9" s="30" t="s">
        <v>245</v>
      </c>
      <c r="BD9" s="30">
        <v>751</v>
      </c>
      <c r="BE9" s="30" t="s">
        <v>332</v>
      </c>
      <c r="BF9" s="30" t="str">
        <f>HYPERLINK("http://dx.doi.org/10.1007/s10661-020-08697-1","http://dx.doi.org/10.1007/s10661-020-08697-1")</f>
        <v>http://dx.doi.org/10.1007/s10661-020-08697-1</v>
      </c>
      <c r="BG9" s="30" t="s">
        <v>245</v>
      </c>
      <c r="BH9" s="30" t="s">
        <v>245</v>
      </c>
      <c r="BI9" s="30" t="s">
        <v>245</v>
      </c>
      <c r="BJ9" s="30" t="s">
        <v>245</v>
      </c>
      <c r="BK9" s="30" t="s">
        <v>245</v>
      </c>
      <c r="BL9" s="30" t="s">
        <v>245</v>
      </c>
      <c r="BM9" s="30" t="s">
        <v>245</v>
      </c>
      <c r="BN9" s="30">
        <v>33156467</v>
      </c>
      <c r="BO9" s="30" t="s">
        <v>245</v>
      </c>
      <c r="BP9" s="30" t="s">
        <v>245</v>
      </c>
      <c r="BQ9" s="30" t="s">
        <v>245</v>
      </c>
      <c r="BR9" s="30" t="s">
        <v>245</v>
      </c>
      <c r="BS9" s="30" t="s">
        <v>333</v>
      </c>
      <c r="BT9" s="30" t="str">
        <f>HYPERLINK("https%3A%2F%2Fwww.webofscience.com%2Fwos%2Fwoscc%2Ffull-record%2FWOS:000586880600001","View Full Record in Web of Science")</f>
        <v>View Full Record in Web of Science</v>
      </c>
    </row>
    <row r="10" spans="1:72" x14ac:dyDescent="0.2">
      <c r="A10" s="30" t="s">
        <v>243</v>
      </c>
      <c r="B10" s="30" t="s">
        <v>334</v>
      </c>
      <c r="C10" s="30" t="s">
        <v>245</v>
      </c>
      <c r="D10" s="30" t="s">
        <v>245</v>
      </c>
      <c r="E10" s="30" t="s">
        <v>245</v>
      </c>
      <c r="F10" s="30" t="s">
        <v>334</v>
      </c>
      <c r="G10" s="30" t="s">
        <v>245</v>
      </c>
      <c r="H10" s="30" t="s">
        <v>245</v>
      </c>
      <c r="I10" s="30" t="s">
        <v>335</v>
      </c>
      <c r="J10" s="30" t="s">
        <v>336</v>
      </c>
      <c r="K10" s="30" t="s">
        <v>245</v>
      </c>
      <c r="L10" s="30" t="s">
        <v>245</v>
      </c>
      <c r="M10" s="30" t="s">
        <v>245</v>
      </c>
      <c r="N10" s="30" t="s">
        <v>245</v>
      </c>
      <c r="O10" s="30" t="s">
        <v>337</v>
      </c>
      <c r="P10" s="30" t="s">
        <v>338</v>
      </c>
      <c r="Q10" s="30" t="s">
        <v>339</v>
      </c>
      <c r="R10" s="30" t="s">
        <v>340</v>
      </c>
      <c r="S10" s="30" t="s">
        <v>341</v>
      </c>
      <c r="T10" s="30" t="s">
        <v>245</v>
      </c>
      <c r="U10" s="30" t="s">
        <v>245</v>
      </c>
      <c r="V10" s="30" t="s">
        <v>245</v>
      </c>
      <c r="W10" s="30" t="s">
        <v>245</v>
      </c>
      <c r="X10" s="30" t="s">
        <v>245</v>
      </c>
      <c r="Y10" s="30" t="s">
        <v>245</v>
      </c>
      <c r="Z10" s="30" t="s">
        <v>245</v>
      </c>
      <c r="AA10" s="30" t="s">
        <v>342</v>
      </c>
      <c r="AB10" s="30" t="s">
        <v>245</v>
      </c>
      <c r="AC10" s="30" t="s">
        <v>245</v>
      </c>
      <c r="AD10" s="30" t="s">
        <v>245</v>
      </c>
      <c r="AE10" s="30" t="s">
        <v>245</v>
      </c>
      <c r="AF10" s="30" t="s">
        <v>245</v>
      </c>
      <c r="AG10" s="30" t="s">
        <v>245</v>
      </c>
      <c r="AH10" s="30" t="s">
        <v>245</v>
      </c>
      <c r="AI10" s="30" t="s">
        <v>245</v>
      </c>
      <c r="AJ10" s="30" t="s">
        <v>245</v>
      </c>
      <c r="AK10" s="30" t="s">
        <v>245</v>
      </c>
      <c r="AL10" s="30" t="s">
        <v>245</v>
      </c>
      <c r="AM10" s="30" t="s">
        <v>245</v>
      </c>
      <c r="AN10" s="30" t="s">
        <v>245</v>
      </c>
      <c r="AO10" s="30" t="s">
        <v>343</v>
      </c>
      <c r="AP10" s="30" t="s">
        <v>344</v>
      </c>
      <c r="AQ10" s="30" t="s">
        <v>245</v>
      </c>
      <c r="AR10" s="30" t="s">
        <v>245</v>
      </c>
      <c r="AS10" s="30" t="s">
        <v>245</v>
      </c>
      <c r="AT10" s="30" t="s">
        <v>245</v>
      </c>
      <c r="AU10" s="30">
        <v>1997</v>
      </c>
      <c r="AV10" s="30">
        <v>49</v>
      </c>
      <c r="AW10" s="30" t="s">
        <v>345</v>
      </c>
      <c r="AX10" s="30" t="s">
        <v>245</v>
      </c>
      <c r="AY10" s="30" t="s">
        <v>245</v>
      </c>
      <c r="AZ10" s="30" t="s">
        <v>245</v>
      </c>
      <c r="BA10" s="30" t="s">
        <v>245</v>
      </c>
      <c r="BB10" s="30">
        <v>23</v>
      </c>
      <c r="BC10" s="30">
        <v>28</v>
      </c>
      <c r="BD10" s="30" t="s">
        <v>245</v>
      </c>
      <c r="BE10" s="30" t="s">
        <v>346</v>
      </c>
      <c r="BF10" s="30" t="str">
        <f>HYPERLINK("http://dx.doi.org/10.1023/A:1009779514395","http://dx.doi.org/10.1023/A:1009779514395")</f>
        <v>http://dx.doi.org/10.1023/A:1009779514395</v>
      </c>
      <c r="BG10" s="30" t="s">
        <v>245</v>
      </c>
      <c r="BH10" s="30" t="s">
        <v>245</v>
      </c>
      <c r="BI10" s="30" t="s">
        <v>245</v>
      </c>
      <c r="BJ10" s="30" t="s">
        <v>245</v>
      </c>
      <c r="BK10" s="30" t="s">
        <v>245</v>
      </c>
      <c r="BL10" s="30" t="s">
        <v>245</v>
      </c>
      <c r="BM10" s="30" t="s">
        <v>245</v>
      </c>
      <c r="BN10" s="30" t="s">
        <v>245</v>
      </c>
      <c r="BO10" s="30" t="s">
        <v>245</v>
      </c>
      <c r="BP10" s="30" t="s">
        <v>245</v>
      </c>
      <c r="BQ10" s="30" t="s">
        <v>245</v>
      </c>
      <c r="BR10" s="30" t="s">
        <v>245</v>
      </c>
      <c r="BS10" s="30" t="s">
        <v>347</v>
      </c>
      <c r="BT10" s="30" t="str">
        <f>HYPERLINK("https%3A%2F%2Fwww.webofscience.com%2Fwos%2Fwoscc%2Ffull-record%2FWOS:A1997XY55300005","View Full Record in Web of Science")</f>
        <v>View Full Record in Web of Science</v>
      </c>
    </row>
    <row r="11" spans="1:72" x14ac:dyDescent="0.2">
      <c r="A11" s="30" t="s">
        <v>243</v>
      </c>
      <c r="B11" s="30" t="s">
        <v>348</v>
      </c>
      <c r="C11" s="30" t="s">
        <v>245</v>
      </c>
      <c r="D11" s="30" t="s">
        <v>245</v>
      </c>
      <c r="E11" s="30" t="s">
        <v>245</v>
      </c>
      <c r="F11" s="30" t="s">
        <v>348</v>
      </c>
      <c r="G11" s="30" t="s">
        <v>245</v>
      </c>
      <c r="H11" s="30" t="s">
        <v>245</v>
      </c>
      <c r="I11" s="30" t="s">
        <v>349</v>
      </c>
      <c r="J11" s="30" t="s">
        <v>350</v>
      </c>
      <c r="K11" s="30" t="s">
        <v>245</v>
      </c>
      <c r="L11" s="30" t="s">
        <v>245</v>
      </c>
      <c r="M11" s="30" t="s">
        <v>245</v>
      </c>
      <c r="N11" s="30" t="s">
        <v>245</v>
      </c>
      <c r="O11" s="30" t="s">
        <v>245</v>
      </c>
      <c r="P11" s="30" t="s">
        <v>245</v>
      </c>
      <c r="Q11" s="30" t="s">
        <v>245</v>
      </c>
      <c r="R11" s="30" t="s">
        <v>245</v>
      </c>
      <c r="S11" s="30" t="s">
        <v>245</v>
      </c>
      <c r="T11" s="30" t="s">
        <v>245</v>
      </c>
      <c r="U11" s="30" t="s">
        <v>245</v>
      </c>
      <c r="V11" s="30" t="s">
        <v>245</v>
      </c>
      <c r="W11" s="30" t="s">
        <v>245</v>
      </c>
      <c r="X11" s="30" t="s">
        <v>245</v>
      </c>
      <c r="Y11" s="30" t="s">
        <v>245</v>
      </c>
      <c r="Z11" s="30" t="s">
        <v>245</v>
      </c>
      <c r="AA11" s="30" t="s">
        <v>351</v>
      </c>
      <c r="AB11" s="30" t="s">
        <v>245</v>
      </c>
      <c r="AC11" s="30" t="s">
        <v>245</v>
      </c>
      <c r="AD11" s="30" t="s">
        <v>245</v>
      </c>
      <c r="AE11" s="30" t="s">
        <v>245</v>
      </c>
      <c r="AF11" s="30" t="s">
        <v>245</v>
      </c>
      <c r="AG11" s="30" t="s">
        <v>245</v>
      </c>
      <c r="AH11" s="30" t="s">
        <v>245</v>
      </c>
      <c r="AI11" s="30" t="s">
        <v>245</v>
      </c>
      <c r="AJ11" s="30" t="s">
        <v>245</v>
      </c>
      <c r="AK11" s="30" t="s">
        <v>245</v>
      </c>
      <c r="AL11" s="30" t="s">
        <v>245</v>
      </c>
      <c r="AM11" s="30" t="s">
        <v>245</v>
      </c>
      <c r="AN11" s="30" t="s">
        <v>245</v>
      </c>
      <c r="AO11" s="30" t="s">
        <v>352</v>
      </c>
      <c r="AP11" s="30" t="s">
        <v>353</v>
      </c>
      <c r="AQ11" s="30" t="s">
        <v>245</v>
      </c>
      <c r="AR11" s="30" t="s">
        <v>245</v>
      </c>
      <c r="AS11" s="30" t="s">
        <v>245</v>
      </c>
      <c r="AT11" s="30" t="s">
        <v>354</v>
      </c>
      <c r="AU11" s="30">
        <v>2003</v>
      </c>
      <c r="AV11" s="30">
        <v>51</v>
      </c>
      <c r="AW11" s="30">
        <v>3</v>
      </c>
      <c r="AX11" s="30" t="s">
        <v>245</v>
      </c>
      <c r="AY11" s="30" t="s">
        <v>245</v>
      </c>
      <c r="AZ11" s="30" t="s">
        <v>245</v>
      </c>
      <c r="BA11" s="30" t="s">
        <v>245</v>
      </c>
      <c r="BB11" s="30">
        <v>181</v>
      </c>
      <c r="BC11" s="30">
        <v>195</v>
      </c>
      <c r="BD11" s="30" t="s">
        <v>245</v>
      </c>
      <c r="BE11" s="30" t="s">
        <v>355</v>
      </c>
      <c r="BF11" s="30" t="str">
        <f>HYPERLINK("http://dx.doi.org/10.1016/S0045-6535(02)00822-6","http://dx.doi.org/10.1016/S0045-6535(02)00822-6")</f>
        <v>http://dx.doi.org/10.1016/S0045-6535(02)00822-6</v>
      </c>
      <c r="BG11" s="30" t="s">
        <v>245</v>
      </c>
      <c r="BH11" s="30" t="s">
        <v>245</v>
      </c>
      <c r="BI11" s="30" t="s">
        <v>245</v>
      </c>
      <c r="BJ11" s="30" t="s">
        <v>245</v>
      </c>
      <c r="BK11" s="30" t="s">
        <v>245</v>
      </c>
      <c r="BL11" s="30" t="s">
        <v>245</v>
      </c>
      <c r="BM11" s="30" t="s">
        <v>245</v>
      </c>
      <c r="BN11" s="30">
        <v>12591251</v>
      </c>
      <c r="BO11" s="30" t="s">
        <v>245</v>
      </c>
      <c r="BP11" s="30" t="s">
        <v>245</v>
      </c>
      <c r="BQ11" s="30" t="s">
        <v>245</v>
      </c>
      <c r="BR11" s="30" t="s">
        <v>245</v>
      </c>
      <c r="BS11" s="30" t="s">
        <v>356</v>
      </c>
      <c r="BT11" s="30" t="str">
        <f>HYPERLINK("https%3A%2F%2Fwww.webofscience.com%2Fwos%2Fwoscc%2Ffull-record%2FWOS:000181240400003","View Full Record in Web of Science")</f>
        <v>View Full Record in Web of Science</v>
      </c>
    </row>
    <row r="12" spans="1:72" x14ac:dyDescent="0.2">
      <c r="A12" s="30" t="s">
        <v>243</v>
      </c>
      <c r="B12" s="30" t="s">
        <v>357</v>
      </c>
      <c r="C12" s="30" t="s">
        <v>245</v>
      </c>
      <c r="D12" s="30" t="s">
        <v>245</v>
      </c>
      <c r="E12" s="30" t="s">
        <v>245</v>
      </c>
      <c r="F12" s="30" t="s">
        <v>357</v>
      </c>
      <c r="G12" s="30" t="s">
        <v>245</v>
      </c>
      <c r="H12" s="30" t="s">
        <v>245</v>
      </c>
      <c r="I12" s="30" t="s">
        <v>358</v>
      </c>
      <c r="J12" s="30" t="s">
        <v>304</v>
      </c>
      <c r="K12" s="30" t="s">
        <v>245</v>
      </c>
      <c r="L12" s="30" t="s">
        <v>245</v>
      </c>
      <c r="M12" s="30" t="s">
        <v>245</v>
      </c>
      <c r="N12" s="30" t="s">
        <v>245</v>
      </c>
      <c r="O12" s="30" t="s">
        <v>245</v>
      </c>
      <c r="P12" s="30" t="s">
        <v>245</v>
      </c>
      <c r="Q12" s="30" t="s">
        <v>245</v>
      </c>
      <c r="R12" s="30" t="s">
        <v>245</v>
      </c>
      <c r="S12" s="30" t="s">
        <v>245</v>
      </c>
      <c r="T12" s="30" t="s">
        <v>245</v>
      </c>
      <c r="U12" s="30" t="s">
        <v>245</v>
      </c>
      <c r="V12" s="30" t="s">
        <v>245</v>
      </c>
      <c r="W12" s="30" t="s">
        <v>245</v>
      </c>
      <c r="X12" s="30" t="s">
        <v>245</v>
      </c>
      <c r="Y12" s="30" t="s">
        <v>245</v>
      </c>
      <c r="Z12" s="30" t="s">
        <v>245</v>
      </c>
      <c r="AA12" s="30" t="s">
        <v>245</v>
      </c>
      <c r="AB12" s="30" t="s">
        <v>245</v>
      </c>
      <c r="AC12" s="30" t="s">
        <v>245</v>
      </c>
      <c r="AD12" s="30" t="s">
        <v>245</v>
      </c>
      <c r="AE12" s="30" t="s">
        <v>245</v>
      </c>
      <c r="AF12" s="30" t="s">
        <v>245</v>
      </c>
      <c r="AG12" s="30" t="s">
        <v>245</v>
      </c>
      <c r="AH12" s="30" t="s">
        <v>245</v>
      </c>
      <c r="AI12" s="30" t="s">
        <v>245</v>
      </c>
      <c r="AJ12" s="30" t="s">
        <v>245</v>
      </c>
      <c r="AK12" s="30" t="s">
        <v>245</v>
      </c>
      <c r="AL12" s="30" t="s">
        <v>245</v>
      </c>
      <c r="AM12" s="30" t="s">
        <v>245</v>
      </c>
      <c r="AN12" s="30" t="s">
        <v>245</v>
      </c>
      <c r="AO12" s="30" t="s">
        <v>307</v>
      </c>
      <c r="AP12" s="30" t="s">
        <v>308</v>
      </c>
      <c r="AQ12" s="30" t="s">
        <v>245</v>
      </c>
      <c r="AR12" s="30" t="s">
        <v>245</v>
      </c>
      <c r="AS12" s="30" t="s">
        <v>245</v>
      </c>
      <c r="AT12" s="30" t="s">
        <v>354</v>
      </c>
      <c r="AU12" s="30">
        <v>2006</v>
      </c>
      <c r="AV12" s="30">
        <v>52</v>
      </c>
      <c r="AW12" s="30">
        <v>2</v>
      </c>
      <c r="AX12" s="30" t="s">
        <v>245</v>
      </c>
      <c r="AY12" s="30" t="s">
        <v>245</v>
      </c>
      <c r="AZ12" s="30" t="s">
        <v>245</v>
      </c>
      <c r="BA12" s="30" t="s">
        <v>245</v>
      </c>
      <c r="BB12" s="30">
        <v>226</v>
      </c>
      <c r="BC12" s="30">
        <v>232</v>
      </c>
      <c r="BD12" s="30" t="s">
        <v>245</v>
      </c>
      <c r="BE12" s="30" t="s">
        <v>359</v>
      </c>
      <c r="BF12" s="30" t="str">
        <f>HYPERLINK("http://dx.doi.org/10.1111/j.1747-0765.2006.00018.x","http://dx.doi.org/10.1111/j.1747-0765.2006.00018.x")</f>
        <v>http://dx.doi.org/10.1111/j.1747-0765.2006.00018.x</v>
      </c>
      <c r="BG12" s="30" t="s">
        <v>245</v>
      </c>
      <c r="BH12" s="30" t="s">
        <v>245</v>
      </c>
      <c r="BI12" s="30" t="s">
        <v>245</v>
      </c>
      <c r="BJ12" s="30" t="s">
        <v>245</v>
      </c>
      <c r="BK12" s="30" t="s">
        <v>245</v>
      </c>
      <c r="BL12" s="30" t="s">
        <v>245</v>
      </c>
      <c r="BM12" s="30" t="s">
        <v>245</v>
      </c>
      <c r="BN12" s="30" t="s">
        <v>245</v>
      </c>
      <c r="BO12" s="30" t="s">
        <v>245</v>
      </c>
      <c r="BP12" s="30" t="s">
        <v>245</v>
      </c>
      <c r="BQ12" s="30" t="s">
        <v>245</v>
      </c>
      <c r="BR12" s="30" t="s">
        <v>245</v>
      </c>
      <c r="BS12" s="30" t="s">
        <v>360</v>
      </c>
      <c r="BT12" s="30" t="str">
        <f>HYPERLINK("https%3A%2F%2Fwww.webofscience.com%2Fwos%2Fwoscc%2Ffull-record%2FWOS:000237258700012","View Full Record in Web of Science")</f>
        <v>View Full Record in Web of Science</v>
      </c>
    </row>
    <row r="13" spans="1:72" x14ac:dyDescent="0.2">
      <c r="A13" s="30" t="s">
        <v>243</v>
      </c>
      <c r="B13" s="30" t="s">
        <v>361</v>
      </c>
      <c r="C13" s="30" t="s">
        <v>245</v>
      </c>
      <c r="D13" s="30" t="s">
        <v>245</v>
      </c>
      <c r="E13" s="30" t="s">
        <v>245</v>
      </c>
      <c r="F13" s="30" t="s">
        <v>361</v>
      </c>
      <c r="G13" s="30" t="s">
        <v>245</v>
      </c>
      <c r="H13" s="30" t="s">
        <v>245</v>
      </c>
      <c r="I13" s="30" t="s">
        <v>362</v>
      </c>
      <c r="J13" s="30" t="s">
        <v>363</v>
      </c>
      <c r="K13" s="30" t="s">
        <v>245</v>
      </c>
      <c r="L13" s="30" t="s">
        <v>245</v>
      </c>
      <c r="M13" s="30" t="s">
        <v>245</v>
      </c>
      <c r="N13" s="30" t="s">
        <v>245</v>
      </c>
      <c r="O13" s="30" t="s">
        <v>245</v>
      </c>
      <c r="P13" s="30" t="s">
        <v>245</v>
      </c>
      <c r="Q13" s="30" t="s">
        <v>245</v>
      </c>
      <c r="R13" s="30" t="s">
        <v>245</v>
      </c>
      <c r="S13" s="30" t="s">
        <v>245</v>
      </c>
      <c r="T13" s="30" t="s">
        <v>245</v>
      </c>
      <c r="U13" s="30" t="s">
        <v>245</v>
      </c>
      <c r="V13" s="30" t="s">
        <v>245</v>
      </c>
      <c r="W13" s="30" t="s">
        <v>245</v>
      </c>
      <c r="X13" s="30" t="s">
        <v>245</v>
      </c>
      <c r="Y13" s="30" t="s">
        <v>245</v>
      </c>
      <c r="Z13" s="30" t="s">
        <v>245</v>
      </c>
      <c r="AA13" s="30" t="s">
        <v>245</v>
      </c>
      <c r="AB13" s="30" t="s">
        <v>245</v>
      </c>
      <c r="AC13" s="30" t="s">
        <v>245</v>
      </c>
      <c r="AD13" s="30" t="s">
        <v>245</v>
      </c>
      <c r="AE13" s="30" t="s">
        <v>245</v>
      </c>
      <c r="AF13" s="30" t="s">
        <v>245</v>
      </c>
      <c r="AG13" s="30" t="s">
        <v>245</v>
      </c>
      <c r="AH13" s="30" t="s">
        <v>245</v>
      </c>
      <c r="AI13" s="30" t="s">
        <v>245</v>
      </c>
      <c r="AJ13" s="30" t="s">
        <v>245</v>
      </c>
      <c r="AK13" s="30" t="s">
        <v>245</v>
      </c>
      <c r="AL13" s="30" t="s">
        <v>245</v>
      </c>
      <c r="AM13" s="30" t="s">
        <v>245</v>
      </c>
      <c r="AN13" s="30" t="s">
        <v>245</v>
      </c>
      <c r="AO13" s="30" t="s">
        <v>364</v>
      </c>
      <c r="AP13" s="30" t="s">
        <v>245</v>
      </c>
      <c r="AQ13" s="30" t="s">
        <v>245</v>
      </c>
      <c r="AR13" s="30" t="s">
        <v>245</v>
      </c>
      <c r="AS13" s="30" t="s">
        <v>245</v>
      </c>
      <c r="AT13" s="30" t="s">
        <v>365</v>
      </c>
      <c r="AU13" s="30">
        <v>1992</v>
      </c>
      <c r="AV13" s="30">
        <v>38</v>
      </c>
      <c r="AW13" s="30">
        <v>2</v>
      </c>
      <c r="AX13" s="30" t="s">
        <v>245</v>
      </c>
      <c r="AY13" s="30" t="s">
        <v>245</v>
      </c>
      <c r="AZ13" s="30" t="s">
        <v>245</v>
      </c>
      <c r="BA13" s="30" t="s">
        <v>245</v>
      </c>
      <c r="BB13" s="30">
        <v>143</v>
      </c>
      <c r="BC13" s="30">
        <v>148</v>
      </c>
      <c r="BD13" s="30" t="s">
        <v>245</v>
      </c>
      <c r="BE13" s="30" t="s">
        <v>366</v>
      </c>
      <c r="BF13" s="30" t="str">
        <f>HYPERLINK("http://dx.doi.org/10.1139/m92-023","http://dx.doi.org/10.1139/m92-023")</f>
        <v>http://dx.doi.org/10.1139/m92-023</v>
      </c>
      <c r="BG13" s="30" t="s">
        <v>245</v>
      </c>
      <c r="BH13" s="30" t="s">
        <v>245</v>
      </c>
      <c r="BI13" s="30" t="s">
        <v>245</v>
      </c>
      <c r="BJ13" s="30" t="s">
        <v>245</v>
      </c>
      <c r="BK13" s="30" t="s">
        <v>245</v>
      </c>
      <c r="BL13" s="30" t="s">
        <v>245</v>
      </c>
      <c r="BM13" s="30" t="s">
        <v>245</v>
      </c>
      <c r="BN13" s="30" t="s">
        <v>245</v>
      </c>
      <c r="BO13" s="30" t="s">
        <v>245</v>
      </c>
      <c r="BP13" s="30" t="s">
        <v>245</v>
      </c>
      <c r="BQ13" s="30" t="s">
        <v>245</v>
      </c>
      <c r="BR13" s="30" t="s">
        <v>245</v>
      </c>
      <c r="BS13" s="30" t="s">
        <v>367</v>
      </c>
      <c r="BT13" s="30" t="str">
        <f>HYPERLINK("https%3A%2F%2Fwww.webofscience.com%2Fwos%2Fwoscc%2Ffull-record%2FWOS:A1992HR30500010","View Full Record in Web of Science")</f>
        <v>View Full Record in Web of Science</v>
      </c>
    </row>
    <row r="14" spans="1:72" x14ac:dyDescent="0.2">
      <c r="A14" s="30" t="s">
        <v>243</v>
      </c>
      <c r="B14" s="30" t="s">
        <v>368</v>
      </c>
      <c r="C14" s="30" t="s">
        <v>245</v>
      </c>
      <c r="D14" s="30" t="s">
        <v>245</v>
      </c>
      <c r="E14" s="30" t="s">
        <v>245</v>
      </c>
      <c r="F14" s="30" t="s">
        <v>368</v>
      </c>
      <c r="G14" s="30" t="s">
        <v>245</v>
      </c>
      <c r="H14" s="30" t="s">
        <v>245</v>
      </c>
      <c r="I14" s="30" t="s">
        <v>369</v>
      </c>
      <c r="J14" s="30" t="s">
        <v>282</v>
      </c>
      <c r="K14" s="30" t="s">
        <v>245</v>
      </c>
      <c r="L14" s="30" t="s">
        <v>245</v>
      </c>
      <c r="M14" s="30" t="s">
        <v>245</v>
      </c>
      <c r="N14" s="30" t="s">
        <v>245</v>
      </c>
      <c r="O14" s="30" t="s">
        <v>245</v>
      </c>
      <c r="P14" s="30" t="s">
        <v>245</v>
      </c>
      <c r="Q14" s="30" t="s">
        <v>245</v>
      </c>
      <c r="R14" s="30" t="s">
        <v>245</v>
      </c>
      <c r="S14" s="30" t="s">
        <v>245</v>
      </c>
      <c r="T14" s="30" t="s">
        <v>245</v>
      </c>
      <c r="U14" s="30" t="s">
        <v>245</v>
      </c>
      <c r="V14" s="30" t="s">
        <v>245</v>
      </c>
      <c r="W14" s="30" t="s">
        <v>245</v>
      </c>
      <c r="X14" s="30" t="s">
        <v>245</v>
      </c>
      <c r="Y14" s="30" t="s">
        <v>245</v>
      </c>
      <c r="Z14" s="30" t="s">
        <v>245</v>
      </c>
      <c r="AA14" s="30" t="s">
        <v>245</v>
      </c>
      <c r="AB14" s="30" t="s">
        <v>245</v>
      </c>
      <c r="AC14" s="30" t="s">
        <v>245</v>
      </c>
      <c r="AD14" s="30" t="s">
        <v>245</v>
      </c>
      <c r="AE14" s="30" t="s">
        <v>245</v>
      </c>
      <c r="AF14" s="30" t="s">
        <v>245</v>
      </c>
      <c r="AG14" s="30" t="s">
        <v>245</v>
      </c>
      <c r="AH14" s="30" t="s">
        <v>245</v>
      </c>
      <c r="AI14" s="30" t="s">
        <v>245</v>
      </c>
      <c r="AJ14" s="30" t="s">
        <v>245</v>
      </c>
      <c r="AK14" s="30" t="s">
        <v>245</v>
      </c>
      <c r="AL14" s="30" t="s">
        <v>245</v>
      </c>
      <c r="AM14" s="30" t="s">
        <v>245</v>
      </c>
      <c r="AN14" s="30" t="s">
        <v>245</v>
      </c>
      <c r="AO14" s="30" t="s">
        <v>285</v>
      </c>
      <c r="AP14" s="30" t="s">
        <v>370</v>
      </c>
      <c r="AQ14" s="30" t="s">
        <v>245</v>
      </c>
      <c r="AR14" s="30" t="s">
        <v>245</v>
      </c>
      <c r="AS14" s="30" t="s">
        <v>245</v>
      </c>
      <c r="AT14" s="30" t="s">
        <v>354</v>
      </c>
      <c r="AU14" s="30">
        <v>2004</v>
      </c>
      <c r="AV14" s="30">
        <v>36</v>
      </c>
      <c r="AW14" s="30">
        <v>4</v>
      </c>
      <c r="AX14" s="30" t="s">
        <v>245</v>
      </c>
      <c r="AY14" s="30" t="s">
        <v>245</v>
      </c>
      <c r="AZ14" s="30" t="s">
        <v>245</v>
      </c>
      <c r="BA14" s="30" t="s">
        <v>245</v>
      </c>
      <c r="BB14" s="30">
        <v>687</v>
      </c>
      <c r="BC14" s="30">
        <v>699</v>
      </c>
      <c r="BD14" s="30" t="s">
        <v>245</v>
      </c>
      <c r="BE14" s="30" t="s">
        <v>371</v>
      </c>
      <c r="BF14" s="30" t="str">
        <f>HYPERLINK("http://dx.doi.org/10.1016/j.soilbio.2004.01.004","http://dx.doi.org/10.1016/j.soilbio.2004.01.004")</f>
        <v>http://dx.doi.org/10.1016/j.soilbio.2004.01.004</v>
      </c>
      <c r="BG14" s="30" t="s">
        <v>245</v>
      </c>
      <c r="BH14" s="30" t="s">
        <v>245</v>
      </c>
      <c r="BI14" s="30" t="s">
        <v>245</v>
      </c>
      <c r="BJ14" s="30" t="s">
        <v>245</v>
      </c>
      <c r="BK14" s="30" t="s">
        <v>245</v>
      </c>
      <c r="BL14" s="30" t="s">
        <v>245</v>
      </c>
      <c r="BM14" s="30" t="s">
        <v>245</v>
      </c>
      <c r="BN14" s="30" t="s">
        <v>245</v>
      </c>
      <c r="BO14" s="30" t="s">
        <v>245</v>
      </c>
      <c r="BP14" s="30" t="s">
        <v>245</v>
      </c>
      <c r="BQ14" s="30" t="s">
        <v>245</v>
      </c>
      <c r="BR14" s="30" t="s">
        <v>245</v>
      </c>
      <c r="BS14" s="30" t="s">
        <v>372</v>
      </c>
      <c r="BT14" s="30" t="str">
        <f>HYPERLINK("https%3A%2F%2Fwww.webofscience.com%2Fwos%2Fwoscc%2Ffull-record%2FWOS:000220786200013","View Full Record in Web of Science")</f>
        <v>View Full Record in Web of Science</v>
      </c>
    </row>
    <row r="15" spans="1:72" x14ac:dyDescent="0.2">
      <c r="A15" s="30" t="s">
        <v>243</v>
      </c>
      <c r="B15" s="30" t="s">
        <v>373</v>
      </c>
      <c r="C15" s="30" t="s">
        <v>245</v>
      </c>
      <c r="D15" s="30" t="s">
        <v>245</v>
      </c>
      <c r="E15" s="30" t="s">
        <v>245</v>
      </c>
      <c r="F15" s="30" t="s">
        <v>374</v>
      </c>
      <c r="G15" s="30" t="s">
        <v>245</v>
      </c>
      <c r="H15" s="30" t="s">
        <v>245</v>
      </c>
      <c r="I15" s="30" t="s">
        <v>375</v>
      </c>
      <c r="J15" s="30" t="s">
        <v>376</v>
      </c>
      <c r="K15" s="30" t="s">
        <v>245</v>
      </c>
      <c r="L15" s="30" t="s">
        <v>245</v>
      </c>
      <c r="M15" s="30" t="s">
        <v>245</v>
      </c>
      <c r="N15" s="30" t="s">
        <v>245</v>
      </c>
      <c r="O15" s="30" t="s">
        <v>377</v>
      </c>
      <c r="P15" s="30" t="s">
        <v>378</v>
      </c>
      <c r="Q15" s="30" t="s">
        <v>379</v>
      </c>
      <c r="R15" s="30" t="s">
        <v>245</v>
      </c>
      <c r="S15" s="30" t="s">
        <v>245</v>
      </c>
      <c r="T15" s="30" t="s">
        <v>245</v>
      </c>
      <c r="U15" s="30" t="s">
        <v>245</v>
      </c>
      <c r="V15" s="30" t="s">
        <v>245</v>
      </c>
      <c r="W15" s="30" t="s">
        <v>245</v>
      </c>
      <c r="X15" s="30" t="s">
        <v>245</v>
      </c>
      <c r="Y15" s="30" t="s">
        <v>245</v>
      </c>
      <c r="Z15" s="30" t="s">
        <v>245</v>
      </c>
      <c r="AA15" s="30" t="s">
        <v>380</v>
      </c>
      <c r="AB15" s="30" t="s">
        <v>381</v>
      </c>
      <c r="AC15" s="30" t="s">
        <v>245</v>
      </c>
      <c r="AD15" s="30" t="s">
        <v>245</v>
      </c>
      <c r="AE15" s="30" t="s">
        <v>245</v>
      </c>
      <c r="AF15" s="30" t="s">
        <v>245</v>
      </c>
      <c r="AG15" s="30" t="s">
        <v>245</v>
      </c>
      <c r="AH15" s="30" t="s">
        <v>245</v>
      </c>
      <c r="AI15" s="30" t="s">
        <v>245</v>
      </c>
      <c r="AJ15" s="30" t="s">
        <v>245</v>
      </c>
      <c r="AK15" s="30" t="s">
        <v>245</v>
      </c>
      <c r="AL15" s="30" t="s">
        <v>245</v>
      </c>
      <c r="AM15" s="30" t="s">
        <v>245</v>
      </c>
      <c r="AN15" s="30" t="s">
        <v>245</v>
      </c>
      <c r="AO15" s="30" t="s">
        <v>382</v>
      </c>
      <c r="AP15" s="30" t="s">
        <v>383</v>
      </c>
      <c r="AQ15" s="30" t="s">
        <v>245</v>
      </c>
      <c r="AR15" s="30" t="s">
        <v>245</v>
      </c>
      <c r="AS15" s="30" t="s">
        <v>245</v>
      </c>
      <c r="AT15" s="30" t="s">
        <v>384</v>
      </c>
      <c r="AU15" s="30">
        <v>2010</v>
      </c>
      <c r="AV15" s="30">
        <v>150</v>
      </c>
      <c r="AW15" s="30">
        <v>6</v>
      </c>
      <c r="AX15" s="30" t="s">
        <v>245</v>
      </c>
      <c r="AY15" s="30" t="s">
        <v>245</v>
      </c>
      <c r="AZ15" s="30" t="s">
        <v>298</v>
      </c>
      <c r="BA15" s="30" t="s">
        <v>245</v>
      </c>
      <c r="BB15" s="30">
        <v>748</v>
      </c>
      <c r="BC15" s="30">
        <v>756</v>
      </c>
      <c r="BD15" s="30" t="s">
        <v>245</v>
      </c>
      <c r="BE15" s="30" t="s">
        <v>385</v>
      </c>
      <c r="BF15" s="30" t="str">
        <f>HYPERLINK("http://dx.doi.org/10.1016/j.agrformet.2009.06.018","http://dx.doi.org/10.1016/j.agrformet.2009.06.018")</f>
        <v>http://dx.doi.org/10.1016/j.agrformet.2009.06.018</v>
      </c>
      <c r="BG15" s="30" t="s">
        <v>245</v>
      </c>
      <c r="BH15" s="30" t="s">
        <v>245</v>
      </c>
      <c r="BI15" s="30" t="s">
        <v>245</v>
      </c>
      <c r="BJ15" s="30" t="s">
        <v>245</v>
      </c>
      <c r="BK15" s="30" t="s">
        <v>245</v>
      </c>
      <c r="BL15" s="30" t="s">
        <v>245</v>
      </c>
      <c r="BM15" s="30" t="s">
        <v>245</v>
      </c>
      <c r="BN15" s="30" t="s">
        <v>245</v>
      </c>
      <c r="BO15" s="30" t="s">
        <v>245</v>
      </c>
      <c r="BP15" s="30" t="s">
        <v>245</v>
      </c>
      <c r="BQ15" s="30" t="s">
        <v>245</v>
      </c>
      <c r="BR15" s="30" t="s">
        <v>245</v>
      </c>
      <c r="BS15" s="30" t="s">
        <v>386</v>
      </c>
      <c r="BT15" s="30" t="str">
        <f>HYPERLINK("https%3A%2F%2Fwww.webofscience.com%2Fwos%2Fwoscc%2Ffull-record%2FWOS:000280076400002","View Full Record in Web of Science")</f>
        <v>View Full Record in Web of Science</v>
      </c>
    </row>
    <row r="16" spans="1:72" x14ac:dyDescent="0.2">
      <c r="A16" s="30" t="s">
        <v>243</v>
      </c>
      <c r="B16" s="30" t="s">
        <v>387</v>
      </c>
      <c r="C16" s="30" t="s">
        <v>245</v>
      </c>
      <c r="D16" s="30" t="s">
        <v>245</v>
      </c>
      <c r="E16" s="30" t="s">
        <v>245</v>
      </c>
      <c r="F16" s="30" t="s">
        <v>388</v>
      </c>
      <c r="G16" s="30" t="s">
        <v>245</v>
      </c>
      <c r="H16" s="30" t="s">
        <v>245</v>
      </c>
      <c r="I16" s="30" t="s">
        <v>389</v>
      </c>
      <c r="J16" s="30" t="s">
        <v>390</v>
      </c>
      <c r="K16" s="30" t="s">
        <v>245</v>
      </c>
      <c r="L16" s="30" t="s">
        <v>245</v>
      </c>
      <c r="M16" s="30" t="s">
        <v>245</v>
      </c>
      <c r="N16" s="30" t="s">
        <v>245</v>
      </c>
      <c r="O16" s="30" t="s">
        <v>245</v>
      </c>
      <c r="P16" s="30" t="s">
        <v>245</v>
      </c>
      <c r="Q16" s="30" t="s">
        <v>245</v>
      </c>
      <c r="R16" s="30" t="s">
        <v>245</v>
      </c>
      <c r="S16" s="30" t="s">
        <v>245</v>
      </c>
      <c r="T16" s="30" t="s">
        <v>245</v>
      </c>
      <c r="U16" s="30" t="s">
        <v>245</v>
      </c>
      <c r="V16" s="30" t="s">
        <v>245</v>
      </c>
      <c r="W16" s="30" t="s">
        <v>245</v>
      </c>
      <c r="X16" s="30" t="s">
        <v>245</v>
      </c>
      <c r="Y16" s="30" t="s">
        <v>245</v>
      </c>
      <c r="Z16" s="30" t="s">
        <v>245</v>
      </c>
      <c r="AA16" s="30" t="s">
        <v>391</v>
      </c>
      <c r="AB16" s="30" t="s">
        <v>392</v>
      </c>
      <c r="AC16" s="30" t="s">
        <v>245</v>
      </c>
      <c r="AD16" s="30" t="s">
        <v>245</v>
      </c>
      <c r="AE16" s="30" t="s">
        <v>245</v>
      </c>
      <c r="AF16" s="30" t="s">
        <v>245</v>
      </c>
      <c r="AG16" s="30" t="s">
        <v>245</v>
      </c>
      <c r="AH16" s="30" t="s">
        <v>245</v>
      </c>
      <c r="AI16" s="30" t="s">
        <v>245</v>
      </c>
      <c r="AJ16" s="30" t="s">
        <v>245</v>
      </c>
      <c r="AK16" s="30" t="s">
        <v>245</v>
      </c>
      <c r="AL16" s="30" t="s">
        <v>245</v>
      </c>
      <c r="AM16" s="30" t="s">
        <v>245</v>
      </c>
      <c r="AN16" s="30" t="s">
        <v>245</v>
      </c>
      <c r="AO16" s="30" t="s">
        <v>393</v>
      </c>
      <c r="AP16" s="30" t="s">
        <v>394</v>
      </c>
      <c r="AQ16" s="30" t="s">
        <v>245</v>
      </c>
      <c r="AR16" s="30" t="s">
        <v>245</v>
      </c>
      <c r="AS16" s="30" t="s">
        <v>245</v>
      </c>
      <c r="AT16" s="30" t="s">
        <v>395</v>
      </c>
      <c r="AU16" s="30">
        <v>2021</v>
      </c>
      <c r="AV16" s="30">
        <v>167</v>
      </c>
      <c r="AW16" s="30" t="s">
        <v>245</v>
      </c>
      <c r="AX16" s="30" t="s">
        <v>245</v>
      </c>
      <c r="AY16" s="30" t="s">
        <v>245</v>
      </c>
      <c r="AZ16" s="30" t="s">
        <v>245</v>
      </c>
      <c r="BA16" s="30" t="s">
        <v>245</v>
      </c>
      <c r="BB16" s="30" t="s">
        <v>245</v>
      </c>
      <c r="BC16" s="30" t="s">
        <v>245</v>
      </c>
      <c r="BD16" s="30">
        <v>113561</v>
      </c>
      <c r="BE16" s="30" t="s">
        <v>396</v>
      </c>
      <c r="BF16" s="30" t="str">
        <f>HYPERLINK("http://dx.doi.org/10.1016/j.indcrop.2021.113561","http://dx.doi.org/10.1016/j.indcrop.2021.113561")</f>
        <v>http://dx.doi.org/10.1016/j.indcrop.2021.113561</v>
      </c>
      <c r="BG16" s="30" t="s">
        <v>245</v>
      </c>
      <c r="BH16" s="30" t="s">
        <v>397</v>
      </c>
      <c r="BI16" s="30" t="s">
        <v>245</v>
      </c>
      <c r="BJ16" s="30" t="s">
        <v>245</v>
      </c>
      <c r="BK16" s="30" t="s">
        <v>245</v>
      </c>
      <c r="BL16" s="30" t="s">
        <v>245</v>
      </c>
      <c r="BM16" s="30" t="s">
        <v>245</v>
      </c>
      <c r="BN16" s="30" t="s">
        <v>245</v>
      </c>
      <c r="BO16" s="30" t="s">
        <v>245</v>
      </c>
      <c r="BP16" s="30" t="s">
        <v>245</v>
      </c>
      <c r="BQ16" s="30" t="s">
        <v>245</v>
      </c>
      <c r="BR16" s="30" t="s">
        <v>245</v>
      </c>
      <c r="BS16" s="30" t="s">
        <v>398</v>
      </c>
      <c r="BT16" s="30" t="str">
        <f>HYPERLINK("https%3A%2F%2Fwww.webofscience.com%2Fwos%2Fwoscc%2Ffull-record%2FWOS:000652531900002","View Full Record in Web of Science")</f>
        <v>View Full Record in Web of Science</v>
      </c>
    </row>
    <row r="17" spans="1:72" x14ac:dyDescent="0.2">
      <c r="A17" s="30" t="s">
        <v>243</v>
      </c>
      <c r="B17" s="30" t="s">
        <v>399</v>
      </c>
      <c r="C17" s="30" t="s">
        <v>245</v>
      </c>
      <c r="D17" s="30" t="s">
        <v>245</v>
      </c>
      <c r="E17" s="30" t="s">
        <v>245</v>
      </c>
      <c r="F17" s="30" t="s">
        <v>400</v>
      </c>
      <c r="G17" s="30" t="s">
        <v>245</v>
      </c>
      <c r="H17" s="30" t="s">
        <v>245</v>
      </c>
      <c r="I17" s="30" t="s">
        <v>401</v>
      </c>
      <c r="J17" s="30" t="s">
        <v>402</v>
      </c>
      <c r="K17" s="30" t="s">
        <v>245</v>
      </c>
      <c r="L17" s="30" t="s">
        <v>245</v>
      </c>
      <c r="M17" s="30" t="s">
        <v>245</v>
      </c>
      <c r="N17" s="30" t="s">
        <v>245</v>
      </c>
      <c r="O17" s="30" t="s">
        <v>245</v>
      </c>
      <c r="P17" s="30" t="s">
        <v>245</v>
      </c>
      <c r="Q17" s="30" t="s">
        <v>245</v>
      </c>
      <c r="R17" s="30" t="s">
        <v>245</v>
      </c>
      <c r="S17" s="30" t="s">
        <v>245</v>
      </c>
      <c r="T17" s="30" t="s">
        <v>245</v>
      </c>
      <c r="U17" s="30" t="s">
        <v>245</v>
      </c>
      <c r="V17" s="30" t="s">
        <v>245</v>
      </c>
      <c r="W17" s="30" t="s">
        <v>245</v>
      </c>
      <c r="X17" s="30" t="s">
        <v>245</v>
      </c>
      <c r="Y17" s="30" t="s">
        <v>245</v>
      </c>
      <c r="Z17" s="30" t="s">
        <v>245</v>
      </c>
      <c r="AA17" s="30" t="s">
        <v>403</v>
      </c>
      <c r="AB17" s="30" t="s">
        <v>404</v>
      </c>
      <c r="AC17" s="30" t="s">
        <v>245</v>
      </c>
      <c r="AD17" s="30" t="s">
        <v>245</v>
      </c>
      <c r="AE17" s="30" t="s">
        <v>245</v>
      </c>
      <c r="AF17" s="30" t="s">
        <v>245</v>
      </c>
      <c r="AG17" s="30" t="s">
        <v>245</v>
      </c>
      <c r="AH17" s="30" t="s">
        <v>245</v>
      </c>
      <c r="AI17" s="30" t="s">
        <v>245</v>
      </c>
      <c r="AJ17" s="30" t="s">
        <v>245</v>
      </c>
      <c r="AK17" s="30" t="s">
        <v>245</v>
      </c>
      <c r="AL17" s="30" t="s">
        <v>245</v>
      </c>
      <c r="AM17" s="30" t="s">
        <v>245</v>
      </c>
      <c r="AN17" s="30" t="s">
        <v>245</v>
      </c>
      <c r="AO17" s="30" t="s">
        <v>405</v>
      </c>
      <c r="AP17" s="30" t="s">
        <v>406</v>
      </c>
      <c r="AQ17" s="30" t="s">
        <v>245</v>
      </c>
      <c r="AR17" s="30" t="s">
        <v>245</v>
      </c>
      <c r="AS17" s="30" t="s">
        <v>245</v>
      </c>
      <c r="AT17" s="30" t="s">
        <v>365</v>
      </c>
      <c r="AU17" s="30">
        <v>2022</v>
      </c>
      <c r="AV17" s="30">
        <v>22</v>
      </c>
      <c r="AW17" s="30">
        <v>2</v>
      </c>
      <c r="AX17" s="30" t="s">
        <v>245</v>
      </c>
      <c r="AY17" s="30" t="s">
        <v>245</v>
      </c>
      <c r="AZ17" s="30" t="s">
        <v>245</v>
      </c>
      <c r="BA17" s="30" t="s">
        <v>245</v>
      </c>
      <c r="BB17" s="30">
        <v>617</v>
      </c>
      <c r="BC17" s="30">
        <v>629</v>
      </c>
      <c r="BD17" s="30" t="s">
        <v>245</v>
      </c>
      <c r="BE17" s="30" t="s">
        <v>407</v>
      </c>
      <c r="BF17" s="30" t="str">
        <f>HYPERLINK("http://dx.doi.org/10.1007/s11368-021-03093-9","http://dx.doi.org/10.1007/s11368-021-03093-9")</f>
        <v>http://dx.doi.org/10.1007/s11368-021-03093-9</v>
      </c>
      <c r="BG17" s="30" t="s">
        <v>245</v>
      </c>
      <c r="BH17" s="30" t="s">
        <v>408</v>
      </c>
      <c r="BI17" s="30" t="s">
        <v>245</v>
      </c>
      <c r="BJ17" s="30" t="s">
        <v>245</v>
      </c>
      <c r="BK17" s="30" t="s">
        <v>245</v>
      </c>
      <c r="BL17" s="30" t="s">
        <v>245</v>
      </c>
      <c r="BM17" s="30" t="s">
        <v>245</v>
      </c>
      <c r="BN17" s="30" t="s">
        <v>245</v>
      </c>
      <c r="BO17" s="30" t="s">
        <v>245</v>
      </c>
      <c r="BP17" s="30" t="s">
        <v>245</v>
      </c>
      <c r="BQ17" s="30" t="s">
        <v>245</v>
      </c>
      <c r="BR17" s="30" t="s">
        <v>245</v>
      </c>
      <c r="BS17" s="30" t="s">
        <v>409</v>
      </c>
      <c r="BT17" s="30" t="str">
        <f>HYPERLINK("https%3A%2F%2Fwww.webofscience.com%2Fwos%2Fwoscc%2Ffull-record%2FWOS:000708759100001","View Full Record in Web of Science")</f>
        <v>View Full Record in Web of Science</v>
      </c>
    </row>
    <row r="18" spans="1:72" x14ac:dyDescent="0.2">
      <c r="A18" s="30" t="s">
        <v>243</v>
      </c>
      <c r="B18" s="30" t="s">
        <v>410</v>
      </c>
      <c r="C18" s="30" t="s">
        <v>245</v>
      </c>
      <c r="D18" s="30" t="s">
        <v>245</v>
      </c>
      <c r="E18" s="30" t="s">
        <v>245</v>
      </c>
      <c r="F18" s="30" t="s">
        <v>411</v>
      </c>
      <c r="G18" s="30" t="s">
        <v>245</v>
      </c>
      <c r="H18" s="30" t="s">
        <v>245</v>
      </c>
      <c r="I18" s="30" t="s">
        <v>412</v>
      </c>
      <c r="J18" s="30" t="s">
        <v>413</v>
      </c>
      <c r="K18" s="30" t="s">
        <v>245</v>
      </c>
      <c r="L18" s="30" t="s">
        <v>245</v>
      </c>
      <c r="M18" s="30" t="s">
        <v>245</v>
      </c>
      <c r="N18" s="30" t="s">
        <v>245</v>
      </c>
      <c r="O18" s="30" t="s">
        <v>245</v>
      </c>
      <c r="P18" s="30" t="s">
        <v>245</v>
      </c>
      <c r="Q18" s="30" t="s">
        <v>245</v>
      </c>
      <c r="R18" s="30" t="s">
        <v>245</v>
      </c>
      <c r="S18" s="30" t="s">
        <v>245</v>
      </c>
      <c r="T18" s="30" t="s">
        <v>245</v>
      </c>
      <c r="U18" s="30" t="s">
        <v>245</v>
      </c>
      <c r="V18" s="30" t="s">
        <v>245</v>
      </c>
      <c r="W18" s="30" t="s">
        <v>245</v>
      </c>
      <c r="X18" s="30" t="s">
        <v>245</v>
      </c>
      <c r="Y18" s="30" t="s">
        <v>245</v>
      </c>
      <c r="Z18" s="30" t="s">
        <v>245</v>
      </c>
      <c r="AA18" s="30" t="s">
        <v>414</v>
      </c>
      <c r="AB18" s="30" t="s">
        <v>415</v>
      </c>
      <c r="AC18" s="30" t="s">
        <v>245</v>
      </c>
      <c r="AD18" s="30" t="s">
        <v>245</v>
      </c>
      <c r="AE18" s="30" t="s">
        <v>245</v>
      </c>
      <c r="AF18" s="30" t="s">
        <v>245</v>
      </c>
      <c r="AG18" s="30" t="s">
        <v>245</v>
      </c>
      <c r="AH18" s="30" t="s">
        <v>245</v>
      </c>
      <c r="AI18" s="30" t="s">
        <v>245</v>
      </c>
      <c r="AJ18" s="30" t="s">
        <v>245</v>
      </c>
      <c r="AK18" s="30" t="s">
        <v>245</v>
      </c>
      <c r="AL18" s="30" t="s">
        <v>245</v>
      </c>
      <c r="AM18" s="30" t="s">
        <v>245</v>
      </c>
      <c r="AN18" s="30" t="s">
        <v>245</v>
      </c>
      <c r="AO18" s="30" t="s">
        <v>416</v>
      </c>
      <c r="AP18" s="30" t="s">
        <v>417</v>
      </c>
      <c r="AQ18" s="30" t="s">
        <v>245</v>
      </c>
      <c r="AR18" s="30" t="s">
        <v>245</v>
      </c>
      <c r="AS18" s="30" t="s">
        <v>245</v>
      </c>
      <c r="AT18" s="30" t="s">
        <v>418</v>
      </c>
      <c r="AU18" s="30">
        <v>2014</v>
      </c>
      <c r="AV18" s="30">
        <v>466</v>
      </c>
      <c r="AW18" s="30" t="s">
        <v>245</v>
      </c>
      <c r="AX18" s="30" t="s">
        <v>245</v>
      </c>
      <c r="AY18" s="30" t="s">
        <v>245</v>
      </c>
      <c r="AZ18" s="30" t="s">
        <v>245</v>
      </c>
      <c r="BA18" s="30" t="s">
        <v>245</v>
      </c>
      <c r="BB18" s="30">
        <v>663</v>
      </c>
      <c r="BC18" s="30">
        <v>672</v>
      </c>
      <c r="BD18" s="30" t="s">
        <v>245</v>
      </c>
      <c r="BE18" s="30" t="s">
        <v>419</v>
      </c>
      <c r="BF18" s="30" t="str">
        <f>HYPERLINK("http://dx.doi.org/10.1016/j.scitotenv.2013.07.083","http://dx.doi.org/10.1016/j.scitotenv.2013.07.083")</f>
        <v>http://dx.doi.org/10.1016/j.scitotenv.2013.07.083</v>
      </c>
      <c r="BG18" s="30" t="s">
        <v>245</v>
      </c>
      <c r="BH18" s="30" t="s">
        <v>245</v>
      </c>
      <c r="BI18" s="30" t="s">
        <v>245</v>
      </c>
      <c r="BJ18" s="30" t="s">
        <v>245</v>
      </c>
      <c r="BK18" s="30" t="s">
        <v>245</v>
      </c>
      <c r="BL18" s="30" t="s">
        <v>245</v>
      </c>
      <c r="BM18" s="30" t="s">
        <v>245</v>
      </c>
      <c r="BN18" s="30">
        <v>23962436</v>
      </c>
      <c r="BO18" s="30" t="s">
        <v>245</v>
      </c>
      <c r="BP18" s="30" t="s">
        <v>245</v>
      </c>
      <c r="BQ18" s="30" t="s">
        <v>245</v>
      </c>
      <c r="BR18" s="30" t="s">
        <v>245</v>
      </c>
      <c r="BS18" s="30" t="s">
        <v>420</v>
      </c>
      <c r="BT18" s="30" t="str">
        <f>HYPERLINK("https%3A%2F%2Fwww.webofscience.com%2Fwos%2Fwoscc%2Ffull-record%2FWOS:000330491600070","View Full Record in Web of Science")</f>
        <v>View Full Record in Web of Science</v>
      </c>
    </row>
    <row r="19" spans="1:72" x14ac:dyDescent="0.2">
      <c r="A19" s="30" t="s">
        <v>243</v>
      </c>
      <c r="B19" s="30" t="s">
        <v>421</v>
      </c>
      <c r="C19" s="30" t="s">
        <v>245</v>
      </c>
      <c r="D19" s="30" t="s">
        <v>245</v>
      </c>
      <c r="E19" s="30" t="s">
        <v>245</v>
      </c>
      <c r="F19" s="30" t="s">
        <v>422</v>
      </c>
      <c r="G19" s="30" t="s">
        <v>245</v>
      </c>
      <c r="H19" s="30" t="s">
        <v>245</v>
      </c>
      <c r="I19" s="30" t="s">
        <v>423</v>
      </c>
      <c r="J19" s="30" t="s">
        <v>413</v>
      </c>
      <c r="K19" s="30" t="s">
        <v>245</v>
      </c>
      <c r="L19" s="30" t="s">
        <v>245</v>
      </c>
      <c r="M19" s="30" t="s">
        <v>245</v>
      </c>
      <c r="N19" s="30" t="s">
        <v>245</v>
      </c>
      <c r="O19" s="30" t="s">
        <v>245</v>
      </c>
      <c r="P19" s="30" t="s">
        <v>245</v>
      </c>
      <c r="Q19" s="30" t="s">
        <v>245</v>
      </c>
      <c r="R19" s="30" t="s">
        <v>245</v>
      </c>
      <c r="S19" s="30" t="s">
        <v>245</v>
      </c>
      <c r="T19" s="30" t="s">
        <v>245</v>
      </c>
      <c r="U19" s="30" t="s">
        <v>245</v>
      </c>
      <c r="V19" s="30" t="s">
        <v>245</v>
      </c>
      <c r="W19" s="30" t="s">
        <v>245</v>
      </c>
      <c r="X19" s="30" t="s">
        <v>245</v>
      </c>
      <c r="Y19" s="30" t="s">
        <v>245</v>
      </c>
      <c r="Z19" s="30" t="s">
        <v>245</v>
      </c>
      <c r="AA19" s="30" t="s">
        <v>424</v>
      </c>
      <c r="AB19" s="30" t="s">
        <v>245</v>
      </c>
      <c r="AC19" s="30" t="s">
        <v>245</v>
      </c>
      <c r="AD19" s="30" t="s">
        <v>245</v>
      </c>
      <c r="AE19" s="30" t="s">
        <v>245</v>
      </c>
      <c r="AF19" s="30" t="s">
        <v>245</v>
      </c>
      <c r="AG19" s="30" t="s">
        <v>245</v>
      </c>
      <c r="AH19" s="30" t="s">
        <v>245</v>
      </c>
      <c r="AI19" s="30" t="s">
        <v>245</v>
      </c>
      <c r="AJ19" s="30" t="s">
        <v>245</v>
      </c>
      <c r="AK19" s="30" t="s">
        <v>245</v>
      </c>
      <c r="AL19" s="30" t="s">
        <v>245</v>
      </c>
      <c r="AM19" s="30" t="s">
        <v>245</v>
      </c>
      <c r="AN19" s="30" t="s">
        <v>245</v>
      </c>
      <c r="AO19" s="30" t="s">
        <v>416</v>
      </c>
      <c r="AP19" s="30" t="s">
        <v>417</v>
      </c>
      <c r="AQ19" s="30" t="s">
        <v>245</v>
      </c>
      <c r="AR19" s="30" t="s">
        <v>245</v>
      </c>
      <c r="AS19" s="30" t="s">
        <v>245</v>
      </c>
      <c r="AT19" s="30" t="s">
        <v>425</v>
      </c>
      <c r="AU19" s="30">
        <v>2022</v>
      </c>
      <c r="AV19" s="30">
        <v>818</v>
      </c>
      <c r="AW19" s="30" t="s">
        <v>245</v>
      </c>
      <c r="AX19" s="30" t="s">
        <v>245</v>
      </c>
      <c r="AY19" s="30" t="s">
        <v>245</v>
      </c>
      <c r="AZ19" s="30" t="s">
        <v>245</v>
      </c>
      <c r="BA19" s="30" t="s">
        <v>245</v>
      </c>
      <c r="BB19" s="30" t="s">
        <v>245</v>
      </c>
      <c r="BC19" s="30" t="s">
        <v>245</v>
      </c>
      <c r="BD19" s="30">
        <v>151766</v>
      </c>
      <c r="BE19" s="30" t="s">
        <v>426</v>
      </c>
      <c r="BF19" s="30" t="str">
        <f>HYPERLINK("http://dx.doi.org/10.1016/j.scitotenv.2021.151766","http://dx.doi.org/10.1016/j.scitotenv.2021.151766")</f>
        <v>http://dx.doi.org/10.1016/j.scitotenv.2021.151766</v>
      </c>
      <c r="BG19" s="30" t="s">
        <v>245</v>
      </c>
      <c r="BH19" s="30" t="s">
        <v>427</v>
      </c>
      <c r="BI19" s="30" t="s">
        <v>245</v>
      </c>
      <c r="BJ19" s="30" t="s">
        <v>245</v>
      </c>
      <c r="BK19" s="30" t="s">
        <v>245</v>
      </c>
      <c r="BL19" s="30" t="s">
        <v>245</v>
      </c>
      <c r="BM19" s="30" t="s">
        <v>245</v>
      </c>
      <c r="BN19" s="30">
        <v>34801506</v>
      </c>
      <c r="BO19" s="30" t="s">
        <v>245</v>
      </c>
      <c r="BP19" s="30" t="s">
        <v>245</v>
      </c>
      <c r="BQ19" s="30" t="s">
        <v>245</v>
      </c>
      <c r="BR19" s="30" t="s">
        <v>245</v>
      </c>
      <c r="BS19" s="30" t="s">
        <v>428</v>
      </c>
      <c r="BT19" s="30" t="str">
        <f>HYPERLINK("https%3A%2F%2Fwww.webofscience.com%2Fwos%2Fwoscc%2Ffull-record%2FWOS:000789651100003","View Full Record in Web of Science")</f>
        <v>View Full Record in Web of Science</v>
      </c>
    </row>
    <row r="20" spans="1:72" x14ac:dyDescent="0.2">
      <c r="A20" s="30" t="s">
        <v>243</v>
      </c>
      <c r="B20" s="30" t="s">
        <v>429</v>
      </c>
      <c r="C20" s="30" t="s">
        <v>245</v>
      </c>
      <c r="D20" s="30" t="s">
        <v>245</v>
      </c>
      <c r="E20" s="30" t="s">
        <v>245</v>
      </c>
      <c r="F20" s="30" t="s">
        <v>430</v>
      </c>
      <c r="G20" s="30" t="s">
        <v>245</v>
      </c>
      <c r="H20" s="30" t="s">
        <v>245</v>
      </c>
      <c r="I20" s="30" t="s">
        <v>431</v>
      </c>
      <c r="J20" s="30" t="s">
        <v>432</v>
      </c>
      <c r="K20" s="30" t="s">
        <v>245</v>
      </c>
      <c r="L20" s="30" t="s">
        <v>245</v>
      </c>
      <c r="M20" s="30" t="s">
        <v>245</v>
      </c>
      <c r="N20" s="30" t="s">
        <v>245</v>
      </c>
      <c r="O20" s="30" t="s">
        <v>245</v>
      </c>
      <c r="P20" s="30" t="s">
        <v>245</v>
      </c>
      <c r="Q20" s="30" t="s">
        <v>245</v>
      </c>
      <c r="R20" s="30" t="s">
        <v>245</v>
      </c>
      <c r="S20" s="30" t="s">
        <v>245</v>
      </c>
      <c r="T20" s="30" t="s">
        <v>245</v>
      </c>
      <c r="U20" s="30" t="s">
        <v>245</v>
      </c>
      <c r="V20" s="30" t="s">
        <v>245</v>
      </c>
      <c r="W20" s="30" t="s">
        <v>245</v>
      </c>
      <c r="X20" s="30" t="s">
        <v>245</v>
      </c>
      <c r="Y20" s="30" t="s">
        <v>245</v>
      </c>
      <c r="Z20" s="30" t="s">
        <v>245</v>
      </c>
      <c r="AA20" s="30" t="s">
        <v>245</v>
      </c>
      <c r="AB20" s="30" t="s">
        <v>245</v>
      </c>
      <c r="AC20" s="30" t="s">
        <v>245</v>
      </c>
      <c r="AD20" s="30" t="s">
        <v>245</v>
      </c>
      <c r="AE20" s="30" t="s">
        <v>245</v>
      </c>
      <c r="AF20" s="30" t="s">
        <v>245</v>
      </c>
      <c r="AG20" s="30" t="s">
        <v>245</v>
      </c>
      <c r="AH20" s="30" t="s">
        <v>245</v>
      </c>
      <c r="AI20" s="30" t="s">
        <v>245</v>
      </c>
      <c r="AJ20" s="30" t="s">
        <v>245</v>
      </c>
      <c r="AK20" s="30" t="s">
        <v>245</v>
      </c>
      <c r="AL20" s="30" t="s">
        <v>245</v>
      </c>
      <c r="AM20" s="30" t="s">
        <v>245</v>
      </c>
      <c r="AN20" s="30" t="s">
        <v>245</v>
      </c>
      <c r="AO20" s="30" t="s">
        <v>433</v>
      </c>
      <c r="AP20" s="30" t="s">
        <v>434</v>
      </c>
      <c r="AQ20" s="30" t="s">
        <v>245</v>
      </c>
      <c r="AR20" s="30" t="s">
        <v>245</v>
      </c>
      <c r="AS20" s="30" t="s">
        <v>245</v>
      </c>
      <c r="AT20" s="30" t="s">
        <v>435</v>
      </c>
      <c r="AU20" s="30">
        <v>2011</v>
      </c>
      <c r="AV20" s="30">
        <v>342</v>
      </c>
      <c r="AW20" s="30" t="s">
        <v>436</v>
      </c>
      <c r="AX20" s="30" t="s">
        <v>245</v>
      </c>
      <c r="AY20" s="30" t="s">
        <v>245</v>
      </c>
      <c r="AZ20" s="30" t="s">
        <v>245</v>
      </c>
      <c r="BA20" s="30" t="s">
        <v>245</v>
      </c>
      <c r="BB20" s="30">
        <v>345</v>
      </c>
      <c r="BC20" s="30">
        <v>357</v>
      </c>
      <c r="BD20" s="30" t="s">
        <v>245</v>
      </c>
      <c r="BE20" s="30" t="s">
        <v>437</v>
      </c>
      <c r="BF20" s="30" t="str">
        <f>HYPERLINK("http://dx.doi.org/10.1007/s11104-010-0699-1","http://dx.doi.org/10.1007/s11104-010-0699-1")</f>
        <v>http://dx.doi.org/10.1007/s11104-010-0699-1</v>
      </c>
      <c r="BG20" s="30" t="s">
        <v>245</v>
      </c>
      <c r="BH20" s="30" t="s">
        <v>245</v>
      </c>
      <c r="BI20" s="30" t="s">
        <v>245</v>
      </c>
      <c r="BJ20" s="30" t="s">
        <v>245</v>
      </c>
      <c r="BK20" s="30" t="s">
        <v>245</v>
      </c>
      <c r="BL20" s="30" t="s">
        <v>245</v>
      </c>
      <c r="BM20" s="30" t="s">
        <v>245</v>
      </c>
      <c r="BN20" s="30" t="s">
        <v>245</v>
      </c>
      <c r="BO20" s="30" t="s">
        <v>245</v>
      </c>
      <c r="BP20" s="30" t="s">
        <v>245</v>
      </c>
      <c r="BQ20" s="30" t="s">
        <v>245</v>
      </c>
      <c r="BR20" s="30" t="s">
        <v>245</v>
      </c>
      <c r="BS20" s="30" t="s">
        <v>438</v>
      </c>
      <c r="BT20" s="30" t="str">
        <f>HYPERLINK("https%3A%2F%2Fwww.webofscience.com%2Fwos%2Fwoscc%2Ffull-record%2FWOS:000289562000027","View Full Record in Web of Science")</f>
        <v>View Full Record in Web of Science</v>
      </c>
    </row>
    <row r="21" spans="1:72" x14ac:dyDescent="0.2">
      <c r="A21" s="30" t="s">
        <v>243</v>
      </c>
      <c r="B21" s="30" t="s">
        <v>439</v>
      </c>
      <c r="C21" s="30" t="s">
        <v>245</v>
      </c>
      <c r="D21" s="30" t="s">
        <v>245</v>
      </c>
      <c r="E21" s="30" t="s">
        <v>245</v>
      </c>
      <c r="F21" s="30" t="s">
        <v>440</v>
      </c>
      <c r="G21" s="30" t="s">
        <v>245</v>
      </c>
      <c r="H21" s="30" t="s">
        <v>245</v>
      </c>
      <c r="I21" s="30" t="s">
        <v>441</v>
      </c>
      <c r="J21" s="30" t="s">
        <v>271</v>
      </c>
      <c r="K21" s="30" t="s">
        <v>245</v>
      </c>
      <c r="L21" s="30" t="s">
        <v>245</v>
      </c>
      <c r="M21" s="30" t="s">
        <v>245</v>
      </c>
      <c r="N21" s="30" t="s">
        <v>245</v>
      </c>
      <c r="O21" s="30" t="s">
        <v>245</v>
      </c>
      <c r="P21" s="30" t="s">
        <v>245</v>
      </c>
      <c r="Q21" s="30" t="s">
        <v>245</v>
      </c>
      <c r="R21" s="30" t="s">
        <v>245</v>
      </c>
      <c r="S21" s="30" t="s">
        <v>245</v>
      </c>
      <c r="T21" s="30" t="s">
        <v>245</v>
      </c>
      <c r="U21" s="30" t="s">
        <v>245</v>
      </c>
      <c r="V21" s="30" t="s">
        <v>245</v>
      </c>
      <c r="W21" s="30" t="s">
        <v>245</v>
      </c>
      <c r="X21" s="30" t="s">
        <v>245</v>
      </c>
      <c r="Y21" s="30" t="s">
        <v>245</v>
      </c>
      <c r="Z21" s="30" t="s">
        <v>245</v>
      </c>
      <c r="AA21" s="30" t="s">
        <v>442</v>
      </c>
      <c r="AB21" s="30" t="s">
        <v>443</v>
      </c>
      <c r="AC21" s="30" t="s">
        <v>245</v>
      </c>
      <c r="AD21" s="30" t="s">
        <v>245</v>
      </c>
      <c r="AE21" s="30" t="s">
        <v>245</v>
      </c>
      <c r="AF21" s="30" t="s">
        <v>245</v>
      </c>
      <c r="AG21" s="30" t="s">
        <v>245</v>
      </c>
      <c r="AH21" s="30" t="s">
        <v>245</v>
      </c>
      <c r="AI21" s="30" t="s">
        <v>245</v>
      </c>
      <c r="AJ21" s="30" t="s">
        <v>245</v>
      </c>
      <c r="AK21" s="30" t="s">
        <v>245</v>
      </c>
      <c r="AL21" s="30" t="s">
        <v>245</v>
      </c>
      <c r="AM21" s="30" t="s">
        <v>245</v>
      </c>
      <c r="AN21" s="30" t="s">
        <v>245</v>
      </c>
      <c r="AO21" s="30" t="s">
        <v>274</v>
      </c>
      <c r="AP21" s="30" t="s">
        <v>275</v>
      </c>
      <c r="AQ21" s="30" t="s">
        <v>245</v>
      </c>
      <c r="AR21" s="30" t="s">
        <v>245</v>
      </c>
      <c r="AS21" s="30" t="s">
        <v>245</v>
      </c>
      <c r="AT21" s="30" t="s">
        <v>444</v>
      </c>
      <c r="AU21" s="30">
        <v>2015</v>
      </c>
      <c r="AV21" s="30">
        <v>49</v>
      </c>
      <c r="AW21" s="30">
        <v>18</v>
      </c>
      <c r="AX21" s="30" t="s">
        <v>245</v>
      </c>
      <c r="AY21" s="30" t="s">
        <v>245</v>
      </c>
      <c r="AZ21" s="30" t="s">
        <v>245</v>
      </c>
      <c r="BA21" s="30" t="s">
        <v>245</v>
      </c>
      <c r="BB21" s="30">
        <v>11209</v>
      </c>
      <c r="BC21" s="30">
        <v>11217</v>
      </c>
      <c r="BD21" s="30" t="s">
        <v>245</v>
      </c>
      <c r="BE21" s="30" t="s">
        <v>445</v>
      </c>
      <c r="BF21" s="30" t="str">
        <f>HYPERLINK("http://dx.doi.org/10.1021/acs.est.5b01504","http://dx.doi.org/10.1021/acs.est.5b01504")</f>
        <v>http://dx.doi.org/10.1021/acs.est.5b01504</v>
      </c>
      <c r="BG21" s="30" t="s">
        <v>245</v>
      </c>
      <c r="BH21" s="30" t="s">
        <v>245</v>
      </c>
      <c r="BI21" s="30" t="s">
        <v>245</v>
      </c>
      <c r="BJ21" s="30" t="s">
        <v>245</v>
      </c>
      <c r="BK21" s="30" t="s">
        <v>245</v>
      </c>
      <c r="BL21" s="30" t="s">
        <v>245</v>
      </c>
      <c r="BM21" s="30" t="s">
        <v>245</v>
      </c>
      <c r="BN21" s="30">
        <v>26295867</v>
      </c>
      <c r="BO21" s="30" t="s">
        <v>245</v>
      </c>
      <c r="BP21" s="30" t="s">
        <v>245</v>
      </c>
      <c r="BQ21" s="30" t="s">
        <v>245</v>
      </c>
      <c r="BR21" s="30" t="s">
        <v>245</v>
      </c>
      <c r="BS21" s="30" t="s">
        <v>446</v>
      </c>
      <c r="BT21" s="30" t="str">
        <f>HYPERLINK("https%3A%2F%2Fwww.webofscience.com%2Fwos%2Fwoscc%2Ffull-record%2FWOS:000361415800054","View Full Record in Web of Science")</f>
        <v>View Full Record in Web of Science</v>
      </c>
    </row>
    <row r="22" spans="1:72" x14ac:dyDescent="0.2">
      <c r="A22" s="30" t="s">
        <v>243</v>
      </c>
      <c r="B22" s="30" t="s">
        <v>447</v>
      </c>
      <c r="C22" s="30" t="s">
        <v>245</v>
      </c>
      <c r="D22" s="30" t="s">
        <v>245</v>
      </c>
      <c r="E22" s="30" t="s">
        <v>245</v>
      </c>
      <c r="F22" s="30" t="s">
        <v>448</v>
      </c>
      <c r="G22" s="30" t="s">
        <v>245</v>
      </c>
      <c r="H22" s="30" t="s">
        <v>245</v>
      </c>
      <c r="I22" s="30" t="s">
        <v>449</v>
      </c>
      <c r="J22" s="30" t="s">
        <v>450</v>
      </c>
      <c r="K22" s="30" t="s">
        <v>245</v>
      </c>
      <c r="L22" s="30" t="s">
        <v>245</v>
      </c>
      <c r="M22" s="30" t="s">
        <v>245</v>
      </c>
      <c r="N22" s="30" t="s">
        <v>245</v>
      </c>
      <c r="O22" s="30" t="s">
        <v>245</v>
      </c>
      <c r="P22" s="30" t="s">
        <v>245</v>
      </c>
      <c r="Q22" s="30" t="s">
        <v>245</v>
      </c>
      <c r="R22" s="30" t="s">
        <v>245</v>
      </c>
      <c r="S22" s="30" t="s">
        <v>245</v>
      </c>
      <c r="T22" s="30" t="s">
        <v>245</v>
      </c>
      <c r="U22" s="30" t="s">
        <v>245</v>
      </c>
      <c r="V22" s="30" t="s">
        <v>245</v>
      </c>
      <c r="W22" s="30" t="s">
        <v>245</v>
      </c>
      <c r="X22" s="30" t="s">
        <v>245</v>
      </c>
      <c r="Y22" s="30" t="s">
        <v>245</v>
      </c>
      <c r="Z22" s="30" t="s">
        <v>245</v>
      </c>
      <c r="AA22" s="30" t="s">
        <v>245</v>
      </c>
      <c r="AB22" s="30" t="s">
        <v>451</v>
      </c>
      <c r="AC22" s="30" t="s">
        <v>245</v>
      </c>
      <c r="AD22" s="30" t="s">
        <v>245</v>
      </c>
      <c r="AE22" s="30" t="s">
        <v>245</v>
      </c>
      <c r="AF22" s="30" t="s">
        <v>245</v>
      </c>
      <c r="AG22" s="30" t="s">
        <v>245</v>
      </c>
      <c r="AH22" s="30" t="s">
        <v>245</v>
      </c>
      <c r="AI22" s="30" t="s">
        <v>245</v>
      </c>
      <c r="AJ22" s="30" t="s">
        <v>245</v>
      </c>
      <c r="AK22" s="30" t="s">
        <v>245</v>
      </c>
      <c r="AL22" s="30" t="s">
        <v>245</v>
      </c>
      <c r="AM22" s="30" t="s">
        <v>245</v>
      </c>
      <c r="AN22" s="30" t="s">
        <v>245</v>
      </c>
      <c r="AO22" s="30" t="s">
        <v>452</v>
      </c>
      <c r="AP22" s="30" t="s">
        <v>453</v>
      </c>
      <c r="AQ22" s="30" t="s">
        <v>245</v>
      </c>
      <c r="AR22" s="30" t="s">
        <v>245</v>
      </c>
      <c r="AS22" s="30" t="s">
        <v>245</v>
      </c>
      <c r="AT22" s="30" t="s">
        <v>454</v>
      </c>
      <c r="AU22" s="30">
        <v>2015</v>
      </c>
      <c r="AV22" s="30">
        <v>82</v>
      </c>
      <c r="AW22" s="30" t="s">
        <v>245</v>
      </c>
      <c r="AX22" s="30" t="s">
        <v>245</v>
      </c>
      <c r="AY22" s="30" t="s">
        <v>245</v>
      </c>
      <c r="AZ22" s="30" t="s">
        <v>245</v>
      </c>
      <c r="BA22" s="30" t="s">
        <v>245</v>
      </c>
      <c r="BB22" s="30">
        <v>605</v>
      </c>
      <c r="BC22" s="30">
        <v>613</v>
      </c>
      <c r="BD22" s="30" t="s">
        <v>245</v>
      </c>
      <c r="BE22" s="30" t="s">
        <v>455</v>
      </c>
      <c r="BF22" s="30" t="str">
        <f>HYPERLINK("http://dx.doi.org/10.1016/j.ecoleng.2015.05.008","http://dx.doi.org/10.1016/j.ecoleng.2015.05.008")</f>
        <v>http://dx.doi.org/10.1016/j.ecoleng.2015.05.008</v>
      </c>
      <c r="BG22" s="30" t="s">
        <v>245</v>
      </c>
      <c r="BH22" s="30" t="s">
        <v>245</v>
      </c>
      <c r="BI22" s="30" t="s">
        <v>245</v>
      </c>
      <c r="BJ22" s="30" t="s">
        <v>245</v>
      </c>
      <c r="BK22" s="30" t="s">
        <v>245</v>
      </c>
      <c r="BL22" s="30" t="s">
        <v>245</v>
      </c>
      <c r="BM22" s="30" t="s">
        <v>245</v>
      </c>
      <c r="BN22" s="30" t="s">
        <v>245</v>
      </c>
      <c r="BO22" s="30" t="s">
        <v>245</v>
      </c>
      <c r="BP22" s="30" t="s">
        <v>245</v>
      </c>
      <c r="BQ22" s="30" t="s">
        <v>245</v>
      </c>
      <c r="BR22" s="30" t="s">
        <v>245</v>
      </c>
      <c r="BS22" s="30" t="s">
        <v>456</v>
      </c>
      <c r="BT22" s="30" t="str">
        <f>HYPERLINK("https%3A%2F%2Fwww.webofscience.com%2Fwos%2Fwoscc%2Ffull-record%2FWOS:000360189100071","View Full Record in Web of Science")</f>
        <v>View Full Record in Web of Science</v>
      </c>
    </row>
    <row r="23" spans="1:72" x14ac:dyDescent="0.2">
      <c r="A23" s="30" t="s">
        <v>243</v>
      </c>
      <c r="B23" s="30" t="s">
        <v>457</v>
      </c>
      <c r="C23" s="30" t="s">
        <v>245</v>
      </c>
      <c r="D23" s="30" t="s">
        <v>245</v>
      </c>
      <c r="E23" s="30" t="s">
        <v>245</v>
      </c>
      <c r="F23" s="30" t="s">
        <v>458</v>
      </c>
      <c r="G23" s="30" t="s">
        <v>245</v>
      </c>
      <c r="H23" s="30" t="s">
        <v>245</v>
      </c>
      <c r="I23" s="30" t="s">
        <v>459</v>
      </c>
      <c r="J23" s="30" t="s">
        <v>460</v>
      </c>
      <c r="K23" s="30" t="s">
        <v>245</v>
      </c>
      <c r="L23" s="30" t="s">
        <v>245</v>
      </c>
      <c r="M23" s="30" t="s">
        <v>245</v>
      </c>
      <c r="N23" s="30" t="s">
        <v>245</v>
      </c>
      <c r="O23" s="30" t="s">
        <v>245</v>
      </c>
      <c r="P23" s="30" t="s">
        <v>245</v>
      </c>
      <c r="Q23" s="30" t="s">
        <v>245</v>
      </c>
      <c r="R23" s="30" t="s">
        <v>245</v>
      </c>
      <c r="S23" s="30" t="s">
        <v>245</v>
      </c>
      <c r="T23" s="30" t="s">
        <v>245</v>
      </c>
      <c r="U23" s="30" t="s">
        <v>245</v>
      </c>
      <c r="V23" s="30" t="s">
        <v>245</v>
      </c>
      <c r="W23" s="30" t="s">
        <v>245</v>
      </c>
      <c r="X23" s="30" t="s">
        <v>245</v>
      </c>
      <c r="Y23" s="30" t="s">
        <v>245</v>
      </c>
      <c r="Z23" s="30" t="s">
        <v>245</v>
      </c>
      <c r="AA23" s="30" t="s">
        <v>461</v>
      </c>
      <c r="AB23" s="30" t="s">
        <v>245</v>
      </c>
      <c r="AC23" s="30" t="s">
        <v>245</v>
      </c>
      <c r="AD23" s="30" t="s">
        <v>245</v>
      </c>
      <c r="AE23" s="30" t="s">
        <v>245</v>
      </c>
      <c r="AF23" s="30" t="s">
        <v>245</v>
      </c>
      <c r="AG23" s="30" t="s">
        <v>245</v>
      </c>
      <c r="AH23" s="30" t="s">
        <v>245</v>
      </c>
      <c r="AI23" s="30" t="s">
        <v>245</v>
      </c>
      <c r="AJ23" s="30" t="s">
        <v>245</v>
      </c>
      <c r="AK23" s="30" t="s">
        <v>245</v>
      </c>
      <c r="AL23" s="30" t="s">
        <v>245</v>
      </c>
      <c r="AM23" s="30" t="s">
        <v>245</v>
      </c>
      <c r="AN23" s="30" t="s">
        <v>245</v>
      </c>
      <c r="AO23" s="30" t="s">
        <v>462</v>
      </c>
      <c r="AP23" s="30" t="s">
        <v>463</v>
      </c>
      <c r="AQ23" s="30" t="s">
        <v>245</v>
      </c>
      <c r="AR23" s="30" t="s">
        <v>245</v>
      </c>
      <c r="AS23" s="30" t="s">
        <v>245</v>
      </c>
      <c r="AT23" s="30" t="s">
        <v>354</v>
      </c>
      <c r="AU23" s="30">
        <v>2008</v>
      </c>
      <c r="AV23" s="30">
        <v>88</v>
      </c>
      <c r="AW23" s="30">
        <v>2</v>
      </c>
      <c r="AX23" s="30" t="s">
        <v>245</v>
      </c>
      <c r="AY23" s="30" t="s">
        <v>245</v>
      </c>
      <c r="AZ23" s="30" t="s">
        <v>298</v>
      </c>
      <c r="BA23" s="30" t="s">
        <v>245</v>
      </c>
      <c r="BB23" s="30">
        <v>145</v>
      </c>
      <c r="BC23" s="30">
        <v>151</v>
      </c>
      <c r="BD23" s="30" t="s">
        <v>245</v>
      </c>
      <c r="BE23" s="30" t="s">
        <v>464</v>
      </c>
      <c r="BF23" s="30" t="str">
        <f>HYPERLINK("http://dx.doi.org/10.4141/CJSS06024","http://dx.doi.org/10.4141/CJSS06024")</f>
        <v>http://dx.doi.org/10.4141/CJSS06024</v>
      </c>
      <c r="BG23" s="30" t="s">
        <v>245</v>
      </c>
      <c r="BH23" s="30" t="s">
        <v>245</v>
      </c>
      <c r="BI23" s="30" t="s">
        <v>245</v>
      </c>
      <c r="BJ23" s="30" t="s">
        <v>245</v>
      </c>
      <c r="BK23" s="30" t="s">
        <v>245</v>
      </c>
      <c r="BL23" s="30" t="s">
        <v>245</v>
      </c>
      <c r="BM23" s="30" t="s">
        <v>245</v>
      </c>
      <c r="BN23" s="30" t="s">
        <v>245</v>
      </c>
      <c r="BO23" s="30" t="s">
        <v>245</v>
      </c>
      <c r="BP23" s="30" t="s">
        <v>245</v>
      </c>
      <c r="BQ23" s="30" t="s">
        <v>245</v>
      </c>
      <c r="BR23" s="30" t="s">
        <v>245</v>
      </c>
      <c r="BS23" s="30" t="s">
        <v>465</v>
      </c>
      <c r="BT23" s="30" t="str">
        <f>HYPERLINK("https%3A%2F%2Fwww.webofscience.com%2Fwos%2Fwoscc%2Ffull-record%2FWOS:000255717800003","View Full Record in Web of Science")</f>
        <v>View Full Record in Web of Science</v>
      </c>
    </row>
    <row r="24" spans="1:72" x14ac:dyDescent="0.2">
      <c r="A24" s="30" t="s">
        <v>243</v>
      </c>
      <c r="B24" s="30" t="s">
        <v>466</v>
      </c>
      <c r="C24" s="30" t="s">
        <v>245</v>
      </c>
      <c r="D24" s="30" t="s">
        <v>245</v>
      </c>
      <c r="E24" s="30" t="s">
        <v>245</v>
      </c>
      <c r="F24" s="30" t="s">
        <v>467</v>
      </c>
      <c r="G24" s="30" t="s">
        <v>245</v>
      </c>
      <c r="H24" s="30" t="s">
        <v>245</v>
      </c>
      <c r="I24" s="30" t="s">
        <v>468</v>
      </c>
      <c r="J24" s="30" t="s">
        <v>469</v>
      </c>
      <c r="K24" s="30" t="s">
        <v>245</v>
      </c>
      <c r="L24" s="30" t="s">
        <v>245</v>
      </c>
      <c r="M24" s="30" t="s">
        <v>245</v>
      </c>
      <c r="N24" s="30" t="s">
        <v>245</v>
      </c>
      <c r="O24" s="30" t="s">
        <v>245</v>
      </c>
      <c r="P24" s="30" t="s">
        <v>245</v>
      </c>
      <c r="Q24" s="30" t="s">
        <v>245</v>
      </c>
      <c r="R24" s="30" t="s">
        <v>245</v>
      </c>
      <c r="S24" s="30" t="s">
        <v>245</v>
      </c>
      <c r="T24" s="30" t="s">
        <v>245</v>
      </c>
      <c r="U24" s="30" t="s">
        <v>245</v>
      </c>
      <c r="V24" s="30" t="s">
        <v>245</v>
      </c>
      <c r="W24" s="30" t="s">
        <v>245</v>
      </c>
      <c r="X24" s="30" t="s">
        <v>245</v>
      </c>
      <c r="Y24" s="30" t="s">
        <v>245</v>
      </c>
      <c r="Z24" s="30" t="s">
        <v>245</v>
      </c>
      <c r="AA24" s="30" t="s">
        <v>470</v>
      </c>
      <c r="AB24" s="30" t="s">
        <v>471</v>
      </c>
      <c r="AC24" s="30" t="s">
        <v>245</v>
      </c>
      <c r="AD24" s="30" t="s">
        <v>245</v>
      </c>
      <c r="AE24" s="30" t="s">
        <v>245</v>
      </c>
      <c r="AF24" s="30" t="s">
        <v>245</v>
      </c>
      <c r="AG24" s="30" t="s">
        <v>245</v>
      </c>
      <c r="AH24" s="30" t="s">
        <v>245</v>
      </c>
      <c r="AI24" s="30" t="s">
        <v>245</v>
      </c>
      <c r="AJ24" s="30" t="s">
        <v>245</v>
      </c>
      <c r="AK24" s="30" t="s">
        <v>245</v>
      </c>
      <c r="AL24" s="30" t="s">
        <v>245</v>
      </c>
      <c r="AM24" s="30" t="s">
        <v>245</v>
      </c>
      <c r="AN24" s="30" t="s">
        <v>245</v>
      </c>
      <c r="AO24" s="30" t="s">
        <v>472</v>
      </c>
      <c r="AP24" s="30" t="s">
        <v>473</v>
      </c>
      <c r="AQ24" s="30" t="s">
        <v>245</v>
      </c>
      <c r="AR24" s="30" t="s">
        <v>245</v>
      </c>
      <c r="AS24" s="30" t="s">
        <v>245</v>
      </c>
      <c r="AT24" s="30" t="s">
        <v>474</v>
      </c>
      <c r="AU24" s="30">
        <v>2020</v>
      </c>
      <c r="AV24" s="30">
        <v>361</v>
      </c>
      <c r="AW24" s="30" t="s">
        <v>245</v>
      </c>
      <c r="AX24" s="30" t="s">
        <v>245</v>
      </c>
      <c r="AY24" s="30" t="s">
        <v>245</v>
      </c>
      <c r="AZ24" s="30" t="s">
        <v>245</v>
      </c>
      <c r="BA24" s="30" t="s">
        <v>245</v>
      </c>
      <c r="BB24" s="30" t="s">
        <v>245</v>
      </c>
      <c r="BC24" s="30" t="s">
        <v>245</v>
      </c>
      <c r="BD24" s="30">
        <v>114053</v>
      </c>
      <c r="BE24" s="30" t="s">
        <v>475</v>
      </c>
      <c r="BF24" s="30" t="str">
        <f>HYPERLINK("http://dx.doi.org/10.1016/j.geoderma.2019.114053","http://dx.doi.org/10.1016/j.geoderma.2019.114053")</f>
        <v>http://dx.doi.org/10.1016/j.geoderma.2019.114053</v>
      </c>
      <c r="BG24" s="30" t="s">
        <v>245</v>
      </c>
      <c r="BH24" s="30" t="s">
        <v>245</v>
      </c>
      <c r="BI24" s="30" t="s">
        <v>245</v>
      </c>
      <c r="BJ24" s="30" t="s">
        <v>245</v>
      </c>
      <c r="BK24" s="30" t="s">
        <v>245</v>
      </c>
      <c r="BL24" s="30" t="s">
        <v>245</v>
      </c>
      <c r="BM24" s="30" t="s">
        <v>245</v>
      </c>
      <c r="BN24" s="30" t="s">
        <v>245</v>
      </c>
      <c r="BO24" s="30" t="s">
        <v>245</v>
      </c>
      <c r="BP24" s="30" t="s">
        <v>245</v>
      </c>
      <c r="BQ24" s="30" t="s">
        <v>245</v>
      </c>
      <c r="BR24" s="30" t="s">
        <v>245</v>
      </c>
      <c r="BS24" s="30" t="s">
        <v>476</v>
      </c>
      <c r="BT24" s="30" t="str">
        <f>HYPERLINK("https%3A%2F%2Fwww.webofscience.com%2Fwos%2Fwoscc%2Ffull-record%2FWOS:000510804700037","View Full Record in Web of Science")</f>
        <v>View Full Record in Web of Science</v>
      </c>
    </row>
    <row r="25" spans="1:72" x14ac:dyDescent="0.2">
      <c r="A25" s="30" t="s">
        <v>243</v>
      </c>
      <c r="B25" s="30" t="s">
        <v>477</v>
      </c>
      <c r="C25" s="30" t="s">
        <v>245</v>
      </c>
      <c r="D25" s="30" t="s">
        <v>245</v>
      </c>
      <c r="E25" s="30" t="s">
        <v>245</v>
      </c>
      <c r="F25" s="30" t="s">
        <v>478</v>
      </c>
      <c r="G25" s="30" t="s">
        <v>245</v>
      </c>
      <c r="H25" s="30" t="s">
        <v>245</v>
      </c>
      <c r="I25" s="30" t="s">
        <v>479</v>
      </c>
      <c r="J25" s="30" t="s">
        <v>460</v>
      </c>
      <c r="K25" s="30" t="s">
        <v>245</v>
      </c>
      <c r="L25" s="30" t="s">
        <v>245</v>
      </c>
      <c r="M25" s="30" t="s">
        <v>245</v>
      </c>
      <c r="N25" s="30" t="s">
        <v>245</v>
      </c>
      <c r="O25" s="30" t="s">
        <v>245</v>
      </c>
      <c r="P25" s="30" t="s">
        <v>245</v>
      </c>
      <c r="Q25" s="30" t="s">
        <v>245</v>
      </c>
      <c r="R25" s="30" t="s">
        <v>245</v>
      </c>
      <c r="S25" s="30" t="s">
        <v>245</v>
      </c>
      <c r="T25" s="30" t="s">
        <v>245</v>
      </c>
      <c r="U25" s="30" t="s">
        <v>245</v>
      </c>
      <c r="V25" s="30" t="s">
        <v>245</v>
      </c>
      <c r="W25" s="30" t="s">
        <v>245</v>
      </c>
      <c r="X25" s="30" t="s">
        <v>245</v>
      </c>
      <c r="Y25" s="30" t="s">
        <v>245</v>
      </c>
      <c r="Z25" s="30" t="s">
        <v>245</v>
      </c>
      <c r="AA25" s="30" t="s">
        <v>480</v>
      </c>
      <c r="AB25" s="30" t="s">
        <v>245</v>
      </c>
      <c r="AC25" s="30" t="s">
        <v>245</v>
      </c>
      <c r="AD25" s="30" t="s">
        <v>245</v>
      </c>
      <c r="AE25" s="30" t="s">
        <v>245</v>
      </c>
      <c r="AF25" s="30" t="s">
        <v>245</v>
      </c>
      <c r="AG25" s="30" t="s">
        <v>245</v>
      </c>
      <c r="AH25" s="30" t="s">
        <v>245</v>
      </c>
      <c r="AI25" s="30" t="s">
        <v>245</v>
      </c>
      <c r="AJ25" s="30" t="s">
        <v>245</v>
      </c>
      <c r="AK25" s="30" t="s">
        <v>245</v>
      </c>
      <c r="AL25" s="30" t="s">
        <v>245</v>
      </c>
      <c r="AM25" s="30" t="s">
        <v>245</v>
      </c>
      <c r="AN25" s="30" t="s">
        <v>245</v>
      </c>
      <c r="AO25" s="30" t="s">
        <v>462</v>
      </c>
      <c r="AP25" s="30" t="s">
        <v>463</v>
      </c>
      <c r="AQ25" s="30" t="s">
        <v>245</v>
      </c>
      <c r="AR25" s="30" t="s">
        <v>245</v>
      </c>
      <c r="AS25" s="30" t="s">
        <v>245</v>
      </c>
      <c r="AT25" s="30" t="s">
        <v>481</v>
      </c>
      <c r="AU25" s="30">
        <v>2020</v>
      </c>
      <c r="AV25" s="30">
        <v>100</v>
      </c>
      <c r="AW25" s="30">
        <v>4</v>
      </c>
      <c r="AX25" s="30" t="s">
        <v>245</v>
      </c>
      <c r="AY25" s="30" t="s">
        <v>245</v>
      </c>
      <c r="AZ25" s="30" t="s">
        <v>245</v>
      </c>
      <c r="BA25" s="30" t="s">
        <v>245</v>
      </c>
      <c r="BB25" s="30">
        <v>479</v>
      </c>
      <c r="BC25" s="30">
        <v>487</v>
      </c>
      <c r="BD25" s="30" t="s">
        <v>245</v>
      </c>
      <c r="BE25" s="30" t="s">
        <v>482</v>
      </c>
      <c r="BF25" s="30" t="str">
        <f>HYPERLINK("http://dx.doi.org/10.1139/cjss-2020-0034","http://dx.doi.org/10.1139/cjss-2020-0034")</f>
        <v>http://dx.doi.org/10.1139/cjss-2020-0034</v>
      </c>
      <c r="BG25" s="30" t="s">
        <v>245</v>
      </c>
      <c r="BH25" s="30" t="s">
        <v>245</v>
      </c>
      <c r="BI25" s="30" t="s">
        <v>245</v>
      </c>
      <c r="BJ25" s="30" t="s">
        <v>245</v>
      </c>
      <c r="BK25" s="30" t="s">
        <v>245</v>
      </c>
      <c r="BL25" s="30" t="s">
        <v>245</v>
      </c>
      <c r="BM25" s="30" t="s">
        <v>245</v>
      </c>
      <c r="BN25" s="30" t="s">
        <v>245</v>
      </c>
      <c r="BO25" s="30" t="s">
        <v>245</v>
      </c>
      <c r="BP25" s="30" t="s">
        <v>245</v>
      </c>
      <c r="BQ25" s="30" t="s">
        <v>245</v>
      </c>
      <c r="BR25" s="30" t="s">
        <v>245</v>
      </c>
      <c r="BS25" s="30" t="s">
        <v>483</v>
      </c>
      <c r="BT25" s="30" t="str">
        <f>HYPERLINK("https%3A%2F%2Fwww.webofscience.com%2Fwos%2Fwoscc%2Ffull-record%2FWOS:000595593400013","View Full Record in Web of Science")</f>
        <v>View Full Record in Web of Science</v>
      </c>
    </row>
    <row r="26" spans="1:72" x14ac:dyDescent="0.2">
      <c r="A26" s="30" t="s">
        <v>243</v>
      </c>
      <c r="B26" s="30" t="s">
        <v>484</v>
      </c>
      <c r="C26" s="30" t="s">
        <v>245</v>
      </c>
      <c r="D26" s="30" t="s">
        <v>245</v>
      </c>
      <c r="E26" s="30" t="s">
        <v>245</v>
      </c>
      <c r="F26" s="30" t="s">
        <v>485</v>
      </c>
      <c r="G26" s="30" t="s">
        <v>245</v>
      </c>
      <c r="H26" s="30" t="s">
        <v>245</v>
      </c>
      <c r="I26" s="30" t="s">
        <v>486</v>
      </c>
      <c r="J26" s="30" t="s">
        <v>336</v>
      </c>
      <c r="K26" s="30" t="s">
        <v>245</v>
      </c>
      <c r="L26" s="30" t="s">
        <v>245</v>
      </c>
      <c r="M26" s="30" t="s">
        <v>245</v>
      </c>
      <c r="N26" s="30" t="s">
        <v>245</v>
      </c>
      <c r="O26" s="30" t="s">
        <v>245</v>
      </c>
      <c r="P26" s="30" t="s">
        <v>245</v>
      </c>
      <c r="Q26" s="30" t="s">
        <v>245</v>
      </c>
      <c r="R26" s="30" t="s">
        <v>245</v>
      </c>
      <c r="S26" s="30" t="s">
        <v>245</v>
      </c>
      <c r="T26" s="30" t="s">
        <v>245</v>
      </c>
      <c r="U26" s="30" t="s">
        <v>245</v>
      </c>
      <c r="V26" s="30" t="s">
        <v>245</v>
      </c>
      <c r="W26" s="30" t="s">
        <v>245</v>
      </c>
      <c r="X26" s="30" t="s">
        <v>245</v>
      </c>
      <c r="Y26" s="30" t="s">
        <v>245</v>
      </c>
      <c r="Z26" s="30" t="s">
        <v>245</v>
      </c>
      <c r="AA26" s="30" t="s">
        <v>245</v>
      </c>
      <c r="AB26" s="30" t="s">
        <v>245</v>
      </c>
      <c r="AC26" s="30" t="s">
        <v>245</v>
      </c>
      <c r="AD26" s="30" t="s">
        <v>245</v>
      </c>
      <c r="AE26" s="30" t="s">
        <v>245</v>
      </c>
      <c r="AF26" s="30" t="s">
        <v>245</v>
      </c>
      <c r="AG26" s="30" t="s">
        <v>245</v>
      </c>
      <c r="AH26" s="30" t="s">
        <v>245</v>
      </c>
      <c r="AI26" s="30" t="s">
        <v>245</v>
      </c>
      <c r="AJ26" s="30" t="s">
        <v>245</v>
      </c>
      <c r="AK26" s="30" t="s">
        <v>245</v>
      </c>
      <c r="AL26" s="30" t="s">
        <v>245</v>
      </c>
      <c r="AM26" s="30" t="s">
        <v>245</v>
      </c>
      <c r="AN26" s="30" t="s">
        <v>245</v>
      </c>
      <c r="AO26" s="30" t="s">
        <v>343</v>
      </c>
      <c r="AP26" s="30" t="s">
        <v>344</v>
      </c>
      <c r="AQ26" s="30" t="s">
        <v>245</v>
      </c>
      <c r="AR26" s="30" t="s">
        <v>245</v>
      </c>
      <c r="AS26" s="30" t="s">
        <v>245</v>
      </c>
      <c r="AT26" s="30" t="s">
        <v>487</v>
      </c>
      <c r="AU26" s="30">
        <v>2021</v>
      </c>
      <c r="AV26" s="30">
        <v>119</v>
      </c>
      <c r="AW26" s="30">
        <v>2</v>
      </c>
      <c r="AX26" s="30" t="s">
        <v>245</v>
      </c>
      <c r="AY26" s="30" t="s">
        <v>245</v>
      </c>
      <c r="AZ26" s="30" t="s">
        <v>245</v>
      </c>
      <c r="BA26" s="30" t="s">
        <v>245</v>
      </c>
      <c r="BB26" s="30">
        <v>275</v>
      </c>
      <c r="BC26" s="30">
        <v>289</v>
      </c>
      <c r="BD26" s="30" t="s">
        <v>245</v>
      </c>
      <c r="BE26" s="30" t="s">
        <v>488</v>
      </c>
      <c r="BF26" s="30" t="str">
        <f>HYPERLINK("http://dx.doi.org/10.1007/s10705-020-10116-3","http://dx.doi.org/10.1007/s10705-020-10116-3")</f>
        <v>http://dx.doi.org/10.1007/s10705-020-10116-3</v>
      </c>
      <c r="BG26" s="30" t="s">
        <v>245</v>
      </c>
      <c r="BH26" s="30" t="s">
        <v>489</v>
      </c>
      <c r="BI26" s="30" t="s">
        <v>245</v>
      </c>
      <c r="BJ26" s="30" t="s">
        <v>245</v>
      </c>
      <c r="BK26" s="30" t="s">
        <v>245</v>
      </c>
      <c r="BL26" s="30" t="s">
        <v>245</v>
      </c>
      <c r="BM26" s="30" t="s">
        <v>245</v>
      </c>
      <c r="BN26" s="30" t="s">
        <v>245</v>
      </c>
      <c r="BO26" s="30" t="s">
        <v>245</v>
      </c>
      <c r="BP26" s="30" t="s">
        <v>245</v>
      </c>
      <c r="BQ26" s="30" t="s">
        <v>245</v>
      </c>
      <c r="BR26" s="30" t="s">
        <v>245</v>
      </c>
      <c r="BS26" s="30" t="s">
        <v>490</v>
      </c>
      <c r="BT26" s="30" t="str">
        <f>HYPERLINK("https%3A%2F%2Fwww.webofscience.com%2Fwos%2Fwoscc%2Ffull-record%2FWOS:000615754800001","View Full Record in Web of Science")</f>
        <v>View Full Record in Web of Science</v>
      </c>
    </row>
    <row r="27" spans="1:72" x14ac:dyDescent="0.2">
      <c r="A27" s="30" t="s">
        <v>243</v>
      </c>
      <c r="B27" s="30" t="s">
        <v>491</v>
      </c>
      <c r="C27" s="30" t="s">
        <v>245</v>
      </c>
      <c r="D27" s="30" t="s">
        <v>245</v>
      </c>
      <c r="E27" s="30" t="s">
        <v>245</v>
      </c>
      <c r="F27" s="30" t="s">
        <v>491</v>
      </c>
      <c r="G27" s="30" t="s">
        <v>245</v>
      </c>
      <c r="H27" s="30" t="s">
        <v>245</v>
      </c>
      <c r="I27" s="30" t="s">
        <v>492</v>
      </c>
      <c r="J27" s="30" t="s">
        <v>493</v>
      </c>
      <c r="K27" s="30" t="s">
        <v>245</v>
      </c>
      <c r="L27" s="30" t="s">
        <v>245</v>
      </c>
      <c r="M27" s="30" t="s">
        <v>245</v>
      </c>
      <c r="N27" s="30" t="s">
        <v>245</v>
      </c>
      <c r="O27" s="30" t="s">
        <v>245</v>
      </c>
      <c r="P27" s="30" t="s">
        <v>245</v>
      </c>
      <c r="Q27" s="30" t="s">
        <v>245</v>
      </c>
      <c r="R27" s="30" t="s">
        <v>245</v>
      </c>
      <c r="S27" s="30" t="s">
        <v>245</v>
      </c>
      <c r="T27" s="30" t="s">
        <v>245</v>
      </c>
      <c r="U27" s="30" t="s">
        <v>245</v>
      </c>
      <c r="V27" s="30" t="s">
        <v>245</v>
      </c>
      <c r="W27" s="30" t="s">
        <v>245</v>
      </c>
      <c r="X27" s="30" t="s">
        <v>245</v>
      </c>
      <c r="Y27" s="30" t="s">
        <v>245</v>
      </c>
      <c r="Z27" s="30" t="s">
        <v>245</v>
      </c>
      <c r="AA27" s="30" t="s">
        <v>245</v>
      </c>
      <c r="AB27" s="30" t="s">
        <v>245</v>
      </c>
      <c r="AC27" s="30" t="s">
        <v>245</v>
      </c>
      <c r="AD27" s="30" t="s">
        <v>245</v>
      </c>
      <c r="AE27" s="30" t="s">
        <v>245</v>
      </c>
      <c r="AF27" s="30" t="s">
        <v>245</v>
      </c>
      <c r="AG27" s="30" t="s">
        <v>245</v>
      </c>
      <c r="AH27" s="30" t="s">
        <v>245</v>
      </c>
      <c r="AI27" s="30" t="s">
        <v>245</v>
      </c>
      <c r="AJ27" s="30" t="s">
        <v>245</v>
      </c>
      <c r="AK27" s="30" t="s">
        <v>245</v>
      </c>
      <c r="AL27" s="30" t="s">
        <v>245</v>
      </c>
      <c r="AM27" s="30" t="s">
        <v>245</v>
      </c>
      <c r="AN27" s="30" t="s">
        <v>245</v>
      </c>
      <c r="AO27" s="30" t="s">
        <v>494</v>
      </c>
      <c r="AP27" s="30" t="s">
        <v>495</v>
      </c>
      <c r="AQ27" s="30" t="s">
        <v>245</v>
      </c>
      <c r="AR27" s="30" t="s">
        <v>245</v>
      </c>
      <c r="AS27" s="30" t="s">
        <v>245</v>
      </c>
      <c r="AT27" s="30" t="s">
        <v>245</v>
      </c>
      <c r="AU27" s="30">
        <v>1982</v>
      </c>
      <c r="AV27" s="30">
        <v>46</v>
      </c>
      <c r="AW27" s="30">
        <v>1</v>
      </c>
      <c r="AX27" s="30" t="s">
        <v>245</v>
      </c>
      <c r="AY27" s="30" t="s">
        <v>245</v>
      </c>
      <c r="AZ27" s="30" t="s">
        <v>245</v>
      </c>
      <c r="BA27" s="30" t="s">
        <v>245</v>
      </c>
      <c r="BB27" s="30">
        <v>75</v>
      </c>
      <c r="BC27" s="30">
        <v>77</v>
      </c>
      <c r="BD27" s="30" t="s">
        <v>245</v>
      </c>
      <c r="BE27" s="30" t="s">
        <v>496</v>
      </c>
      <c r="BF27" s="30" t="str">
        <f>HYPERLINK("http://dx.doi.org/10.2136/sssaj1982.03615995004600010014x","http://dx.doi.org/10.2136/sssaj1982.03615995004600010014x")</f>
        <v>http://dx.doi.org/10.2136/sssaj1982.03615995004600010014x</v>
      </c>
      <c r="BG27" s="30" t="s">
        <v>245</v>
      </c>
      <c r="BH27" s="30" t="s">
        <v>245</v>
      </c>
      <c r="BI27" s="30" t="s">
        <v>245</v>
      </c>
      <c r="BJ27" s="30" t="s">
        <v>245</v>
      </c>
      <c r="BK27" s="30" t="s">
        <v>245</v>
      </c>
      <c r="BL27" s="30" t="s">
        <v>245</v>
      </c>
      <c r="BM27" s="30" t="s">
        <v>245</v>
      </c>
      <c r="BN27" s="30" t="s">
        <v>245</v>
      </c>
      <c r="BO27" s="30" t="s">
        <v>245</v>
      </c>
      <c r="BP27" s="30" t="s">
        <v>245</v>
      </c>
      <c r="BQ27" s="30" t="s">
        <v>245</v>
      </c>
      <c r="BR27" s="30" t="s">
        <v>245</v>
      </c>
      <c r="BS27" s="30" t="s">
        <v>497</v>
      </c>
      <c r="BT27" s="30" t="str">
        <f>HYPERLINK("https%3A%2F%2Fwww.webofscience.com%2Fwos%2Fwoscc%2Ffull-record%2FWOS:A1982NP46200013","View Full Record in Web of Science")</f>
        <v>View Full Record in Web of Science</v>
      </c>
    </row>
    <row r="28" spans="1:72" x14ac:dyDescent="0.2">
      <c r="A28" s="30" t="s">
        <v>243</v>
      </c>
      <c r="B28" s="30" t="s">
        <v>498</v>
      </c>
      <c r="C28" s="30" t="s">
        <v>245</v>
      </c>
      <c r="D28" s="30" t="s">
        <v>245</v>
      </c>
      <c r="E28" s="30" t="s">
        <v>245</v>
      </c>
      <c r="F28" s="30" t="s">
        <v>499</v>
      </c>
      <c r="G28" s="30" t="s">
        <v>245</v>
      </c>
      <c r="H28" s="30" t="s">
        <v>245</v>
      </c>
      <c r="I28" s="30" t="s">
        <v>500</v>
      </c>
      <c r="J28" s="30" t="s">
        <v>501</v>
      </c>
      <c r="K28" s="30" t="s">
        <v>245</v>
      </c>
      <c r="L28" s="30" t="s">
        <v>245</v>
      </c>
      <c r="M28" s="30" t="s">
        <v>245</v>
      </c>
      <c r="N28" s="30" t="s">
        <v>245</v>
      </c>
      <c r="O28" s="30" t="s">
        <v>245</v>
      </c>
      <c r="P28" s="30" t="s">
        <v>245</v>
      </c>
      <c r="Q28" s="30" t="s">
        <v>245</v>
      </c>
      <c r="R28" s="30" t="s">
        <v>245</v>
      </c>
      <c r="S28" s="30" t="s">
        <v>245</v>
      </c>
      <c r="T28" s="30" t="s">
        <v>245</v>
      </c>
      <c r="U28" s="30" t="s">
        <v>245</v>
      </c>
      <c r="V28" s="30" t="s">
        <v>245</v>
      </c>
      <c r="W28" s="30" t="s">
        <v>245</v>
      </c>
      <c r="X28" s="30" t="s">
        <v>245</v>
      </c>
      <c r="Y28" s="30" t="s">
        <v>245</v>
      </c>
      <c r="Z28" s="30" t="s">
        <v>245</v>
      </c>
      <c r="AA28" s="30" t="s">
        <v>502</v>
      </c>
      <c r="AB28" s="30" t="s">
        <v>503</v>
      </c>
      <c r="AC28" s="30" t="s">
        <v>245</v>
      </c>
      <c r="AD28" s="30" t="s">
        <v>245</v>
      </c>
      <c r="AE28" s="30" t="s">
        <v>245</v>
      </c>
      <c r="AF28" s="30" t="s">
        <v>245</v>
      </c>
      <c r="AG28" s="30" t="s">
        <v>245</v>
      </c>
      <c r="AH28" s="30" t="s">
        <v>245</v>
      </c>
      <c r="AI28" s="30" t="s">
        <v>245</v>
      </c>
      <c r="AJ28" s="30" t="s">
        <v>245</v>
      </c>
      <c r="AK28" s="30" t="s">
        <v>245</v>
      </c>
      <c r="AL28" s="30" t="s">
        <v>245</v>
      </c>
      <c r="AM28" s="30" t="s">
        <v>245</v>
      </c>
      <c r="AN28" s="30" t="s">
        <v>245</v>
      </c>
      <c r="AO28" s="30" t="s">
        <v>504</v>
      </c>
      <c r="AP28" s="30" t="s">
        <v>505</v>
      </c>
      <c r="AQ28" s="30" t="s">
        <v>245</v>
      </c>
      <c r="AR28" s="30" t="s">
        <v>245</v>
      </c>
      <c r="AS28" s="30" t="s">
        <v>245</v>
      </c>
      <c r="AT28" s="30" t="s">
        <v>286</v>
      </c>
      <c r="AU28" s="30">
        <v>2020</v>
      </c>
      <c r="AV28" s="30">
        <v>145</v>
      </c>
      <c r="AW28" s="30" t="s">
        <v>245</v>
      </c>
      <c r="AX28" s="30" t="s">
        <v>245</v>
      </c>
      <c r="AY28" s="30" t="s">
        <v>245</v>
      </c>
      <c r="AZ28" s="30" t="s">
        <v>245</v>
      </c>
      <c r="BA28" s="30" t="s">
        <v>245</v>
      </c>
      <c r="BB28" s="30" t="s">
        <v>245</v>
      </c>
      <c r="BC28" s="30" t="s">
        <v>245</v>
      </c>
      <c r="BD28" s="30">
        <v>103380</v>
      </c>
      <c r="BE28" s="30" t="s">
        <v>506</v>
      </c>
      <c r="BF28" s="30" t="str">
        <f>HYPERLINK("http://dx.doi.org/10.1016/j.apsoil.2019.103380","http://dx.doi.org/10.1016/j.apsoil.2019.103380")</f>
        <v>http://dx.doi.org/10.1016/j.apsoil.2019.103380</v>
      </c>
      <c r="BG28" s="30" t="s">
        <v>245</v>
      </c>
      <c r="BH28" s="30" t="s">
        <v>245</v>
      </c>
      <c r="BI28" s="30" t="s">
        <v>245</v>
      </c>
      <c r="BJ28" s="30" t="s">
        <v>245</v>
      </c>
      <c r="BK28" s="30" t="s">
        <v>245</v>
      </c>
      <c r="BL28" s="30" t="s">
        <v>245</v>
      </c>
      <c r="BM28" s="30" t="s">
        <v>245</v>
      </c>
      <c r="BN28" s="30" t="s">
        <v>245</v>
      </c>
      <c r="BO28" s="30" t="s">
        <v>245</v>
      </c>
      <c r="BP28" s="30" t="s">
        <v>245</v>
      </c>
      <c r="BQ28" s="30" t="s">
        <v>245</v>
      </c>
      <c r="BR28" s="30" t="s">
        <v>245</v>
      </c>
      <c r="BS28" s="30" t="s">
        <v>507</v>
      </c>
      <c r="BT28" s="30" t="str">
        <f>HYPERLINK("https%3A%2F%2Fwww.webofscience.com%2Fwos%2Fwoscc%2Ffull-record%2FWOS:000495708400020","View Full Record in Web of Science")</f>
        <v>View Full Record in Web of Science</v>
      </c>
    </row>
    <row r="29" spans="1:72" x14ac:dyDescent="0.2">
      <c r="A29" s="30" t="s">
        <v>243</v>
      </c>
      <c r="B29" s="30" t="s">
        <v>508</v>
      </c>
      <c r="C29" s="30" t="s">
        <v>245</v>
      </c>
      <c r="D29" s="30" t="s">
        <v>245</v>
      </c>
      <c r="E29" s="30" t="s">
        <v>245</v>
      </c>
      <c r="F29" s="30" t="s">
        <v>509</v>
      </c>
      <c r="G29" s="30" t="s">
        <v>245</v>
      </c>
      <c r="H29" s="30" t="s">
        <v>245</v>
      </c>
      <c r="I29" s="30" t="s">
        <v>510</v>
      </c>
      <c r="J29" s="30" t="s">
        <v>304</v>
      </c>
      <c r="K29" s="30" t="s">
        <v>245</v>
      </c>
      <c r="L29" s="30" t="s">
        <v>245</v>
      </c>
      <c r="M29" s="30" t="s">
        <v>245</v>
      </c>
      <c r="N29" s="30" t="s">
        <v>245</v>
      </c>
      <c r="O29" s="30" t="s">
        <v>245</v>
      </c>
      <c r="P29" s="30" t="s">
        <v>245</v>
      </c>
      <c r="Q29" s="30" t="s">
        <v>245</v>
      </c>
      <c r="R29" s="30" t="s">
        <v>245</v>
      </c>
      <c r="S29" s="30" t="s">
        <v>245</v>
      </c>
      <c r="T29" s="30" t="s">
        <v>245</v>
      </c>
      <c r="U29" s="30" t="s">
        <v>245</v>
      </c>
      <c r="V29" s="30" t="s">
        <v>245</v>
      </c>
      <c r="W29" s="30" t="s">
        <v>245</v>
      </c>
      <c r="X29" s="30" t="s">
        <v>245</v>
      </c>
      <c r="Y29" s="30" t="s">
        <v>245</v>
      </c>
      <c r="Z29" s="30" t="s">
        <v>245</v>
      </c>
      <c r="AA29" s="30" t="s">
        <v>511</v>
      </c>
      <c r="AB29" s="30" t="s">
        <v>512</v>
      </c>
      <c r="AC29" s="30" t="s">
        <v>245</v>
      </c>
      <c r="AD29" s="30" t="s">
        <v>245</v>
      </c>
      <c r="AE29" s="30" t="s">
        <v>245</v>
      </c>
      <c r="AF29" s="30" t="s">
        <v>245</v>
      </c>
      <c r="AG29" s="30" t="s">
        <v>245</v>
      </c>
      <c r="AH29" s="30" t="s">
        <v>245</v>
      </c>
      <c r="AI29" s="30" t="s">
        <v>245</v>
      </c>
      <c r="AJ29" s="30" t="s">
        <v>245</v>
      </c>
      <c r="AK29" s="30" t="s">
        <v>245</v>
      </c>
      <c r="AL29" s="30" t="s">
        <v>245</v>
      </c>
      <c r="AM29" s="30" t="s">
        <v>245</v>
      </c>
      <c r="AN29" s="30" t="s">
        <v>245</v>
      </c>
      <c r="AO29" s="30" t="s">
        <v>307</v>
      </c>
      <c r="AP29" s="30" t="s">
        <v>308</v>
      </c>
      <c r="AQ29" s="30" t="s">
        <v>245</v>
      </c>
      <c r="AR29" s="30" t="s">
        <v>245</v>
      </c>
      <c r="AS29" s="30" t="s">
        <v>245</v>
      </c>
      <c r="AT29" s="30" t="s">
        <v>481</v>
      </c>
      <c r="AU29" s="30">
        <v>2011</v>
      </c>
      <c r="AV29" s="30">
        <v>57</v>
      </c>
      <c r="AW29" s="30">
        <v>6</v>
      </c>
      <c r="AX29" s="30" t="s">
        <v>245</v>
      </c>
      <c r="AY29" s="30" t="s">
        <v>245</v>
      </c>
      <c r="AZ29" s="30" t="s">
        <v>245</v>
      </c>
      <c r="BA29" s="30" t="s">
        <v>245</v>
      </c>
      <c r="BB29" s="30">
        <v>833</v>
      </c>
      <c r="BC29" s="30">
        <v>842</v>
      </c>
      <c r="BD29" s="30" t="s">
        <v>245</v>
      </c>
      <c r="BE29" s="30" t="s">
        <v>513</v>
      </c>
      <c r="BF29" s="30" t="str">
        <f>HYPERLINK("http://dx.doi.org/10.1080/00380768.2011.637302","http://dx.doi.org/10.1080/00380768.2011.637302")</f>
        <v>http://dx.doi.org/10.1080/00380768.2011.637302</v>
      </c>
      <c r="BG29" s="30" t="s">
        <v>245</v>
      </c>
      <c r="BH29" s="30" t="s">
        <v>245</v>
      </c>
      <c r="BI29" s="30" t="s">
        <v>245</v>
      </c>
      <c r="BJ29" s="30" t="s">
        <v>245</v>
      </c>
      <c r="BK29" s="30" t="s">
        <v>245</v>
      </c>
      <c r="BL29" s="30" t="s">
        <v>245</v>
      </c>
      <c r="BM29" s="30" t="s">
        <v>245</v>
      </c>
      <c r="BN29" s="30" t="s">
        <v>245</v>
      </c>
      <c r="BO29" s="30" t="s">
        <v>245</v>
      </c>
      <c r="BP29" s="30" t="s">
        <v>245</v>
      </c>
      <c r="BQ29" s="30" t="s">
        <v>245</v>
      </c>
      <c r="BR29" s="30" t="s">
        <v>245</v>
      </c>
      <c r="BS29" s="30" t="s">
        <v>514</v>
      </c>
      <c r="BT29" s="30" t="str">
        <f>HYPERLINK("https%3A%2F%2Fwww.webofscience.com%2Fwos%2Fwoscc%2Ffull-record%2FWOS:000299013300010","View Full Record in Web of Science")</f>
        <v>View Full Record in Web of Science</v>
      </c>
    </row>
    <row r="30" spans="1:72" x14ac:dyDescent="0.2">
      <c r="A30" s="30" t="s">
        <v>243</v>
      </c>
      <c r="B30" s="30" t="s">
        <v>515</v>
      </c>
      <c r="C30" s="30" t="s">
        <v>245</v>
      </c>
      <c r="D30" s="30" t="s">
        <v>245</v>
      </c>
      <c r="E30" s="30" t="s">
        <v>245</v>
      </c>
      <c r="F30" s="30" t="s">
        <v>516</v>
      </c>
      <c r="G30" s="30" t="s">
        <v>245</v>
      </c>
      <c r="H30" s="30" t="s">
        <v>245</v>
      </c>
      <c r="I30" s="30" t="s">
        <v>517</v>
      </c>
      <c r="J30" s="30" t="s">
        <v>518</v>
      </c>
      <c r="K30" s="30" t="s">
        <v>245</v>
      </c>
      <c r="L30" s="30" t="s">
        <v>245</v>
      </c>
      <c r="M30" s="30" t="s">
        <v>245</v>
      </c>
      <c r="N30" s="30" t="s">
        <v>245</v>
      </c>
      <c r="O30" s="30" t="s">
        <v>245</v>
      </c>
      <c r="P30" s="30" t="s">
        <v>245</v>
      </c>
      <c r="Q30" s="30" t="s">
        <v>245</v>
      </c>
      <c r="R30" s="30" t="s">
        <v>245</v>
      </c>
      <c r="S30" s="30" t="s">
        <v>245</v>
      </c>
      <c r="T30" s="30" t="s">
        <v>245</v>
      </c>
      <c r="U30" s="30" t="s">
        <v>245</v>
      </c>
      <c r="V30" s="30" t="s">
        <v>245</v>
      </c>
      <c r="W30" s="30" t="s">
        <v>245</v>
      </c>
      <c r="X30" s="30" t="s">
        <v>245</v>
      </c>
      <c r="Y30" s="30" t="s">
        <v>245</v>
      </c>
      <c r="Z30" s="30" t="s">
        <v>245</v>
      </c>
      <c r="AA30" s="30" t="s">
        <v>519</v>
      </c>
      <c r="AB30" s="30" t="s">
        <v>520</v>
      </c>
      <c r="AC30" s="30" t="s">
        <v>245</v>
      </c>
      <c r="AD30" s="30" t="s">
        <v>245</v>
      </c>
      <c r="AE30" s="30" t="s">
        <v>245</v>
      </c>
      <c r="AF30" s="30" t="s">
        <v>245</v>
      </c>
      <c r="AG30" s="30" t="s">
        <v>245</v>
      </c>
      <c r="AH30" s="30" t="s">
        <v>245</v>
      </c>
      <c r="AI30" s="30" t="s">
        <v>245</v>
      </c>
      <c r="AJ30" s="30" t="s">
        <v>245</v>
      </c>
      <c r="AK30" s="30" t="s">
        <v>245</v>
      </c>
      <c r="AL30" s="30" t="s">
        <v>245</v>
      </c>
      <c r="AM30" s="30" t="s">
        <v>245</v>
      </c>
      <c r="AN30" s="30" t="s">
        <v>245</v>
      </c>
      <c r="AO30" s="30" t="s">
        <v>521</v>
      </c>
      <c r="AP30" s="30" t="s">
        <v>522</v>
      </c>
      <c r="AQ30" s="30" t="s">
        <v>245</v>
      </c>
      <c r="AR30" s="30" t="s">
        <v>245</v>
      </c>
      <c r="AS30" s="30" t="s">
        <v>245</v>
      </c>
      <c r="AT30" s="30" t="s">
        <v>354</v>
      </c>
      <c r="AU30" s="30">
        <v>2021</v>
      </c>
      <c r="AV30" s="30">
        <v>274</v>
      </c>
      <c r="AW30" s="30" t="s">
        <v>245</v>
      </c>
      <c r="AX30" s="30" t="s">
        <v>245</v>
      </c>
      <c r="AY30" s="30" t="s">
        <v>245</v>
      </c>
      <c r="AZ30" s="30" t="s">
        <v>245</v>
      </c>
      <c r="BA30" s="30" t="s">
        <v>245</v>
      </c>
      <c r="BB30" s="30" t="s">
        <v>245</v>
      </c>
      <c r="BC30" s="30" t="s">
        <v>245</v>
      </c>
      <c r="BD30" s="30">
        <v>114711</v>
      </c>
      <c r="BE30" s="30" t="s">
        <v>523</v>
      </c>
      <c r="BF30" s="30" t="str">
        <f>HYPERLINK("http://dx.doi.org/10.1016/j.anifeedsci.2020.114711","http://dx.doi.org/10.1016/j.anifeedsci.2020.114711")</f>
        <v>http://dx.doi.org/10.1016/j.anifeedsci.2020.114711</v>
      </c>
      <c r="BG30" s="30" t="s">
        <v>245</v>
      </c>
      <c r="BH30" s="30" t="s">
        <v>524</v>
      </c>
      <c r="BI30" s="30" t="s">
        <v>245</v>
      </c>
      <c r="BJ30" s="30" t="s">
        <v>245</v>
      </c>
      <c r="BK30" s="30" t="s">
        <v>245</v>
      </c>
      <c r="BL30" s="30" t="s">
        <v>245</v>
      </c>
      <c r="BM30" s="30" t="s">
        <v>245</v>
      </c>
      <c r="BN30" s="30" t="s">
        <v>245</v>
      </c>
      <c r="BO30" s="30" t="s">
        <v>245</v>
      </c>
      <c r="BP30" s="30" t="s">
        <v>245</v>
      </c>
      <c r="BQ30" s="30" t="s">
        <v>245</v>
      </c>
      <c r="BR30" s="30" t="s">
        <v>245</v>
      </c>
      <c r="BS30" s="30" t="s">
        <v>525</v>
      </c>
      <c r="BT30" s="30" t="str">
        <f>HYPERLINK("https%3A%2F%2Fwww.webofscience.com%2Fwos%2Fwoscc%2Ffull-record%2FWOS:000634114400010","View Full Record in Web of Science")</f>
        <v>View Full Record in Web of Science</v>
      </c>
    </row>
    <row r="31" spans="1:72" x14ac:dyDescent="0.2">
      <c r="A31" s="30" t="s">
        <v>243</v>
      </c>
      <c r="B31" s="30" t="s">
        <v>526</v>
      </c>
      <c r="C31" s="30" t="s">
        <v>245</v>
      </c>
      <c r="D31" s="30" t="s">
        <v>245</v>
      </c>
      <c r="E31" s="30" t="s">
        <v>245</v>
      </c>
      <c r="F31" s="30" t="s">
        <v>526</v>
      </c>
      <c r="G31" s="30" t="s">
        <v>245</v>
      </c>
      <c r="H31" s="30" t="s">
        <v>245</v>
      </c>
      <c r="I31" s="30" t="s">
        <v>527</v>
      </c>
      <c r="J31" s="30" t="s">
        <v>248</v>
      </c>
      <c r="K31" s="30" t="s">
        <v>245</v>
      </c>
      <c r="L31" s="30" t="s">
        <v>245</v>
      </c>
      <c r="M31" s="30" t="s">
        <v>245</v>
      </c>
      <c r="N31" s="30" t="s">
        <v>245</v>
      </c>
      <c r="O31" s="30" t="s">
        <v>245</v>
      </c>
      <c r="P31" s="30" t="s">
        <v>245</v>
      </c>
      <c r="Q31" s="30" t="s">
        <v>245</v>
      </c>
      <c r="R31" s="30" t="s">
        <v>245</v>
      </c>
      <c r="S31" s="30" t="s">
        <v>245</v>
      </c>
      <c r="T31" s="30" t="s">
        <v>245</v>
      </c>
      <c r="U31" s="30" t="s">
        <v>245</v>
      </c>
      <c r="V31" s="30" t="s">
        <v>245</v>
      </c>
      <c r="W31" s="30" t="s">
        <v>245</v>
      </c>
      <c r="X31" s="30" t="s">
        <v>245</v>
      </c>
      <c r="Y31" s="30" t="s">
        <v>245</v>
      </c>
      <c r="Z31" s="30" t="s">
        <v>245</v>
      </c>
      <c r="AA31" s="30" t="s">
        <v>461</v>
      </c>
      <c r="AB31" s="30" t="s">
        <v>245</v>
      </c>
      <c r="AC31" s="30" t="s">
        <v>245</v>
      </c>
      <c r="AD31" s="30" t="s">
        <v>245</v>
      </c>
      <c r="AE31" s="30" t="s">
        <v>245</v>
      </c>
      <c r="AF31" s="30" t="s">
        <v>245</v>
      </c>
      <c r="AG31" s="30" t="s">
        <v>245</v>
      </c>
      <c r="AH31" s="30" t="s">
        <v>245</v>
      </c>
      <c r="AI31" s="30" t="s">
        <v>245</v>
      </c>
      <c r="AJ31" s="30" t="s">
        <v>245</v>
      </c>
      <c r="AK31" s="30" t="s">
        <v>245</v>
      </c>
      <c r="AL31" s="30" t="s">
        <v>245</v>
      </c>
      <c r="AM31" s="30" t="s">
        <v>245</v>
      </c>
      <c r="AN31" s="30" t="s">
        <v>245</v>
      </c>
      <c r="AO31" s="30" t="s">
        <v>251</v>
      </c>
      <c r="AP31" s="30" t="s">
        <v>245</v>
      </c>
      <c r="AQ31" s="30" t="s">
        <v>245</v>
      </c>
      <c r="AR31" s="30" t="s">
        <v>245</v>
      </c>
      <c r="AS31" s="30" t="s">
        <v>245</v>
      </c>
      <c r="AT31" s="30" t="s">
        <v>245</v>
      </c>
      <c r="AU31" s="30">
        <v>1996</v>
      </c>
      <c r="AV31" s="30">
        <v>27</v>
      </c>
      <c r="AW31" s="30" t="s">
        <v>436</v>
      </c>
      <c r="AX31" s="30" t="s">
        <v>245</v>
      </c>
      <c r="AY31" s="30" t="s">
        <v>245</v>
      </c>
      <c r="AZ31" s="30" t="s">
        <v>245</v>
      </c>
      <c r="BA31" s="30" t="s">
        <v>245</v>
      </c>
      <c r="BB31" s="30">
        <v>87</v>
      </c>
      <c r="BC31" s="30">
        <v>99</v>
      </c>
      <c r="BD31" s="30" t="s">
        <v>245</v>
      </c>
      <c r="BE31" s="30" t="s">
        <v>528</v>
      </c>
      <c r="BF31" s="30" t="str">
        <f>HYPERLINK("http://dx.doi.org/10.1080/00103629609369546","http://dx.doi.org/10.1080/00103629609369546")</f>
        <v>http://dx.doi.org/10.1080/00103629609369546</v>
      </c>
      <c r="BG31" s="30" t="s">
        <v>245</v>
      </c>
      <c r="BH31" s="30" t="s">
        <v>245</v>
      </c>
      <c r="BI31" s="30" t="s">
        <v>245</v>
      </c>
      <c r="BJ31" s="30" t="s">
        <v>245</v>
      </c>
      <c r="BK31" s="30" t="s">
        <v>245</v>
      </c>
      <c r="BL31" s="30" t="s">
        <v>245</v>
      </c>
      <c r="BM31" s="30" t="s">
        <v>245</v>
      </c>
      <c r="BN31" s="30" t="s">
        <v>245</v>
      </c>
      <c r="BO31" s="30" t="s">
        <v>245</v>
      </c>
      <c r="BP31" s="30" t="s">
        <v>245</v>
      </c>
      <c r="BQ31" s="30" t="s">
        <v>245</v>
      </c>
      <c r="BR31" s="30" t="s">
        <v>245</v>
      </c>
      <c r="BS31" s="30" t="s">
        <v>529</v>
      </c>
      <c r="BT31" s="30" t="str">
        <f>HYPERLINK("https%3A%2F%2Fwww.webofscience.com%2Fwos%2Fwoscc%2Ffull-record%2FWOS:A1996TT99000009","View Full Record in Web of Science")</f>
        <v>View Full Record in Web of Science</v>
      </c>
    </row>
    <row r="32" spans="1:72" x14ac:dyDescent="0.2">
      <c r="A32" s="30" t="s">
        <v>243</v>
      </c>
      <c r="B32" s="30" t="s">
        <v>530</v>
      </c>
      <c r="C32" s="30" t="s">
        <v>245</v>
      </c>
      <c r="D32" s="30" t="s">
        <v>245</v>
      </c>
      <c r="E32" s="30" t="s">
        <v>245</v>
      </c>
      <c r="F32" s="30" t="s">
        <v>531</v>
      </c>
      <c r="G32" s="30" t="s">
        <v>245</v>
      </c>
      <c r="H32" s="30" t="s">
        <v>245</v>
      </c>
      <c r="I32" s="30" t="s">
        <v>532</v>
      </c>
      <c r="J32" s="30" t="s">
        <v>282</v>
      </c>
      <c r="K32" s="30" t="s">
        <v>245</v>
      </c>
      <c r="L32" s="30" t="s">
        <v>245</v>
      </c>
      <c r="M32" s="30" t="s">
        <v>245</v>
      </c>
      <c r="N32" s="30" t="s">
        <v>245</v>
      </c>
      <c r="O32" s="30" t="s">
        <v>245</v>
      </c>
      <c r="P32" s="30" t="s">
        <v>245</v>
      </c>
      <c r="Q32" s="30" t="s">
        <v>245</v>
      </c>
      <c r="R32" s="30" t="s">
        <v>245</v>
      </c>
      <c r="S32" s="30" t="s">
        <v>245</v>
      </c>
      <c r="T32" s="30" t="s">
        <v>245</v>
      </c>
      <c r="U32" s="30" t="s">
        <v>245</v>
      </c>
      <c r="V32" s="30" t="s">
        <v>245</v>
      </c>
      <c r="W32" s="30" t="s">
        <v>245</v>
      </c>
      <c r="X32" s="30" t="s">
        <v>245</v>
      </c>
      <c r="Y32" s="30" t="s">
        <v>245</v>
      </c>
      <c r="Z32" s="30" t="s">
        <v>245</v>
      </c>
      <c r="AA32" s="30" t="s">
        <v>533</v>
      </c>
      <c r="AB32" s="30" t="s">
        <v>534</v>
      </c>
      <c r="AC32" s="30" t="s">
        <v>245</v>
      </c>
      <c r="AD32" s="30" t="s">
        <v>245</v>
      </c>
      <c r="AE32" s="30" t="s">
        <v>245</v>
      </c>
      <c r="AF32" s="30" t="s">
        <v>245</v>
      </c>
      <c r="AG32" s="30" t="s">
        <v>245</v>
      </c>
      <c r="AH32" s="30" t="s">
        <v>245</v>
      </c>
      <c r="AI32" s="30" t="s">
        <v>245</v>
      </c>
      <c r="AJ32" s="30" t="s">
        <v>245</v>
      </c>
      <c r="AK32" s="30" t="s">
        <v>245</v>
      </c>
      <c r="AL32" s="30" t="s">
        <v>245</v>
      </c>
      <c r="AM32" s="30" t="s">
        <v>245</v>
      </c>
      <c r="AN32" s="30" t="s">
        <v>245</v>
      </c>
      <c r="AO32" s="30" t="s">
        <v>285</v>
      </c>
      <c r="AP32" s="30" t="s">
        <v>370</v>
      </c>
      <c r="AQ32" s="30" t="s">
        <v>245</v>
      </c>
      <c r="AR32" s="30" t="s">
        <v>245</v>
      </c>
      <c r="AS32" s="30" t="s">
        <v>245</v>
      </c>
      <c r="AT32" s="30" t="s">
        <v>535</v>
      </c>
      <c r="AU32" s="30">
        <v>2011</v>
      </c>
      <c r="AV32" s="30">
        <v>43</v>
      </c>
      <c r="AW32" s="30">
        <v>8</v>
      </c>
      <c r="AX32" s="30" t="s">
        <v>245</v>
      </c>
      <c r="AY32" s="30" t="s">
        <v>245</v>
      </c>
      <c r="AZ32" s="30" t="s">
        <v>245</v>
      </c>
      <c r="BA32" s="30" t="s">
        <v>245</v>
      </c>
      <c r="BB32" s="30">
        <v>1671</v>
      </c>
      <c r="BC32" s="30">
        <v>1677</v>
      </c>
      <c r="BD32" s="30" t="s">
        <v>245</v>
      </c>
      <c r="BE32" s="30" t="s">
        <v>536</v>
      </c>
      <c r="BF32" s="30" t="str">
        <f>HYPERLINK("http://dx.doi.org/10.1016/j.soilbio.2011.04.004","http://dx.doi.org/10.1016/j.soilbio.2011.04.004")</f>
        <v>http://dx.doi.org/10.1016/j.soilbio.2011.04.004</v>
      </c>
      <c r="BG32" s="30" t="s">
        <v>245</v>
      </c>
      <c r="BH32" s="30" t="s">
        <v>245</v>
      </c>
      <c r="BI32" s="30" t="s">
        <v>245</v>
      </c>
      <c r="BJ32" s="30" t="s">
        <v>245</v>
      </c>
      <c r="BK32" s="30" t="s">
        <v>245</v>
      </c>
      <c r="BL32" s="30" t="s">
        <v>245</v>
      </c>
      <c r="BM32" s="30" t="s">
        <v>245</v>
      </c>
      <c r="BN32" s="30" t="s">
        <v>245</v>
      </c>
      <c r="BO32" s="30" t="s">
        <v>245</v>
      </c>
      <c r="BP32" s="30" t="s">
        <v>245</v>
      </c>
      <c r="BQ32" s="30" t="s">
        <v>245</v>
      </c>
      <c r="BR32" s="30" t="s">
        <v>245</v>
      </c>
      <c r="BS32" s="30" t="s">
        <v>537</v>
      </c>
      <c r="BT32" s="30" t="str">
        <f>HYPERLINK("https%3A%2F%2Fwww.webofscience.com%2Fwos%2Fwoscc%2Ffull-record%2FWOS:000292995300007","View Full Record in Web of Science")</f>
        <v>View Full Record in Web of Science</v>
      </c>
    </row>
    <row r="33" spans="1:72" x14ac:dyDescent="0.2">
      <c r="A33" s="30" t="s">
        <v>243</v>
      </c>
      <c r="B33" s="30" t="s">
        <v>538</v>
      </c>
      <c r="C33" s="30" t="s">
        <v>245</v>
      </c>
      <c r="D33" s="30" t="s">
        <v>245</v>
      </c>
      <c r="E33" s="30" t="s">
        <v>245</v>
      </c>
      <c r="F33" s="30" t="s">
        <v>539</v>
      </c>
      <c r="G33" s="30" t="s">
        <v>245</v>
      </c>
      <c r="H33" s="30" t="s">
        <v>245</v>
      </c>
      <c r="I33" s="30" t="s">
        <v>540</v>
      </c>
      <c r="J33" s="30" t="s">
        <v>541</v>
      </c>
      <c r="K33" s="30" t="s">
        <v>245</v>
      </c>
      <c r="L33" s="30" t="s">
        <v>245</v>
      </c>
      <c r="M33" s="30" t="s">
        <v>245</v>
      </c>
      <c r="N33" s="30" t="s">
        <v>245</v>
      </c>
      <c r="O33" s="30" t="s">
        <v>245</v>
      </c>
      <c r="P33" s="30" t="s">
        <v>245</v>
      </c>
      <c r="Q33" s="30" t="s">
        <v>245</v>
      </c>
      <c r="R33" s="30" t="s">
        <v>245</v>
      </c>
      <c r="S33" s="30" t="s">
        <v>245</v>
      </c>
      <c r="T33" s="30" t="s">
        <v>245</v>
      </c>
      <c r="U33" s="30" t="s">
        <v>245</v>
      </c>
      <c r="V33" s="30" t="s">
        <v>245</v>
      </c>
      <c r="W33" s="30" t="s">
        <v>245</v>
      </c>
      <c r="X33" s="30" t="s">
        <v>245</v>
      </c>
      <c r="Y33" s="30" t="s">
        <v>245</v>
      </c>
      <c r="Z33" s="30" t="s">
        <v>245</v>
      </c>
      <c r="AA33" s="30" t="s">
        <v>542</v>
      </c>
      <c r="AB33" s="30" t="s">
        <v>543</v>
      </c>
      <c r="AC33" s="30" t="s">
        <v>245</v>
      </c>
      <c r="AD33" s="30" t="s">
        <v>245</v>
      </c>
      <c r="AE33" s="30" t="s">
        <v>245</v>
      </c>
      <c r="AF33" s="30" t="s">
        <v>245</v>
      </c>
      <c r="AG33" s="30" t="s">
        <v>245</v>
      </c>
      <c r="AH33" s="30" t="s">
        <v>245</v>
      </c>
      <c r="AI33" s="30" t="s">
        <v>245</v>
      </c>
      <c r="AJ33" s="30" t="s">
        <v>245</v>
      </c>
      <c r="AK33" s="30" t="s">
        <v>245</v>
      </c>
      <c r="AL33" s="30" t="s">
        <v>245</v>
      </c>
      <c r="AM33" s="30" t="s">
        <v>245</v>
      </c>
      <c r="AN33" s="30" t="s">
        <v>245</v>
      </c>
      <c r="AO33" s="30" t="s">
        <v>544</v>
      </c>
      <c r="AP33" s="30" t="s">
        <v>545</v>
      </c>
      <c r="AQ33" s="30" t="s">
        <v>245</v>
      </c>
      <c r="AR33" s="30" t="s">
        <v>245</v>
      </c>
      <c r="AS33" s="30" t="s">
        <v>245</v>
      </c>
      <c r="AT33" s="30" t="s">
        <v>474</v>
      </c>
      <c r="AU33" s="30">
        <v>2016</v>
      </c>
      <c r="AV33" s="30">
        <v>219</v>
      </c>
      <c r="AW33" s="30" t="s">
        <v>245</v>
      </c>
      <c r="AX33" s="30" t="s">
        <v>245</v>
      </c>
      <c r="AY33" s="30" t="s">
        <v>245</v>
      </c>
      <c r="AZ33" s="30" t="s">
        <v>245</v>
      </c>
      <c r="BA33" s="30" t="s">
        <v>245</v>
      </c>
      <c r="BB33" s="30">
        <v>138</v>
      </c>
      <c r="BC33" s="30">
        <v>151</v>
      </c>
      <c r="BD33" s="30" t="s">
        <v>245</v>
      </c>
      <c r="BE33" s="30" t="s">
        <v>546</v>
      </c>
      <c r="BF33" s="30" t="str">
        <f>HYPERLINK("http://dx.doi.org/10.1016/j.agee.2015.12.015","http://dx.doi.org/10.1016/j.agee.2015.12.015")</f>
        <v>http://dx.doi.org/10.1016/j.agee.2015.12.015</v>
      </c>
      <c r="BG33" s="30" t="s">
        <v>245</v>
      </c>
      <c r="BH33" s="30" t="s">
        <v>245</v>
      </c>
      <c r="BI33" s="30" t="s">
        <v>245</v>
      </c>
      <c r="BJ33" s="30" t="s">
        <v>245</v>
      </c>
      <c r="BK33" s="30" t="s">
        <v>245</v>
      </c>
      <c r="BL33" s="30" t="s">
        <v>245</v>
      </c>
      <c r="BM33" s="30" t="s">
        <v>245</v>
      </c>
      <c r="BN33" s="30" t="s">
        <v>245</v>
      </c>
      <c r="BO33" s="30" t="s">
        <v>245</v>
      </c>
      <c r="BP33" s="30" t="s">
        <v>245</v>
      </c>
      <c r="BQ33" s="30" t="s">
        <v>245</v>
      </c>
      <c r="BR33" s="30" t="s">
        <v>245</v>
      </c>
      <c r="BS33" s="30" t="s">
        <v>547</v>
      </c>
      <c r="BT33" s="30" t="str">
        <f>HYPERLINK("https%3A%2F%2Fwww.webofscience.com%2Fwos%2Fwoscc%2Ffull-record%2FWOS:000370100800015","View Full Record in Web of Science")</f>
        <v>View Full Record in Web of Science</v>
      </c>
    </row>
    <row r="34" spans="1:72" x14ac:dyDescent="0.2">
      <c r="A34" s="30" t="s">
        <v>243</v>
      </c>
      <c r="B34" s="30" t="s">
        <v>548</v>
      </c>
      <c r="C34" s="30" t="s">
        <v>245</v>
      </c>
      <c r="D34" s="30" t="s">
        <v>245</v>
      </c>
      <c r="E34" s="30" t="s">
        <v>245</v>
      </c>
      <c r="F34" s="30" t="s">
        <v>548</v>
      </c>
      <c r="G34" s="30" t="s">
        <v>245</v>
      </c>
      <c r="H34" s="30" t="s">
        <v>245</v>
      </c>
      <c r="I34" s="30" t="s">
        <v>549</v>
      </c>
      <c r="J34" s="30" t="s">
        <v>460</v>
      </c>
      <c r="K34" s="30" t="s">
        <v>245</v>
      </c>
      <c r="L34" s="30" t="s">
        <v>245</v>
      </c>
      <c r="M34" s="30" t="s">
        <v>245</v>
      </c>
      <c r="N34" s="30" t="s">
        <v>245</v>
      </c>
      <c r="O34" s="30" t="s">
        <v>245</v>
      </c>
      <c r="P34" s="30" t="s">
        <v>245</v>
      </c>
      <c r="Q34" s="30" t="s">
        <v>245</v>
      </c>
      <c r="R34" s="30" t="s">
        <v>245</v>
      </c>
      <c r="S34" s="30" t="s">
        <v>245</v>
      </c>
      <c r="T34" s="30" t="s">
        <v>245</v>
      </c>
      <c r="U34" s="30" t="s">
        <v>245</v>
      </c>
      <c r="V34" s="30" t="s">
        <v>245</v>
      </c>
      <c r="W34" s="30" t="s">
        <v>245</v>
      </c>
      <c r="X34" s="30" t="s">
        <v>245</v>
      </c>
      <c r="Y34" s="30" t="s">
        <v>245</v>
      </c>
      <c r="Z34" s="30" t="s">
        <v>245</v>
      </c>
      <c r="AA34" s="30" t="s">
        <v>245</v>
      </c>
      <c r="AB34" s="30" t="s">
        <v>245</v>
      </c>
      <c r="AC34" s="30" t="s">
        <v>245</v>
      </c>
      <c r="AD34" s="30" t="s">
        <v>245</v>
      </c>
      <c r="AE34" s="30" t="s">
        <v>245</v>
      </c>
      <c r="AF34" s="30" t="s">
        <v>245</v>
      </c>
      <c r="AG34" s="30" t="s">
        <v>245</v>
      </c>
      <c r="AH34" s="30" t="s">
        <v>245</v>
      </c>
      <c r="AI34" s="30" t="s">
        <v>245</v>
      </c>
      <c r="AJ34" s="30" t="s">
        <v>245</v>
      </c>
      <c r="AK34" s="30" t="s">
        <v>245</v>
      </c>
      <c r="AL34" s="30" t="s">
        <v>245</v>
      </c>
      <c r="AM34" s="30" t="s">
        <v>245</v>
      </c>
      <c r="AN34" s="30" t="s">
        <v>245</v>
      </c>
      <c r="AO34" s="30" t="s">
        <v>462</v>
      </c>
      <c r="AP34" s="30" t="s">
        <v>245</v>
      </c>
      <c r="AQ34" s="30" t="s">
        <v>245</v>
      </c>
      <c r="AR34" s="30" t="s">
        <v>245</v>
      </c>
      <c r="AS34" s="30" t="s">
        <v>245</v>
      </c>
      <c r="AT34" s="30" t="s">
        <v>550</v>
      </c>
      <c r="AU34" s="30">
        <v>2003</v>
      </c>
      <c r="AV34" s="30">
        <v>83</v>
      </c>
      <c r="AW34" s="30">
        <v>5</v>
      </c>
      <c r="AX34" s="30" t="s">
        <v>245</v>
      </c>
      <c r="AY34" s="30" t="s">
        <v>245</v>
      </c>
      <c r="AZ34" s="30" t="s">
        <v>245</v>
      </c>
      <c r="BA34" s="30" t="s">
        <v>245</v>
      </c>
      <c r="BB34" s="30">
        <v>521</v>
      </c>
      <c r="BC34" s="30">
        <v>532</v>
      </c>
      <c r="BD34" s="30" t="s">
        <v>245</v>
      </c>
      <c r="BE34" s="30" t="s">
        <v>551</v>
      </c>
      <c r="BF34" s="30" t="str">
        <f>HYPERLINK("http://dx.doi.org/10.4141/S02-062","http://dx.doi.org/10.4141/S02-062")</f>
        <v>http://dx.doi.org/10.4141/S02-062</v>
      </c>
      <c r="BG34" s="30" t="s">
        <v>245</v>
      </c>
      <c r="BH34" s="30" t="s">
        <v>245</v>
      </c>
      <c r="BI34" s="30" t="s">
        <v>245</v>
      </c>
      <c r="BJ34" s="30" t="s">
        <v>245</v>
      </c>
      <c r="BK34" s="30" t="s">
        <v>245</v>
      </c>
      <c r="BL34" s="30" t="s">
        <v>245</v>
      </c>
      <c r="BM34" s="30" t="s">
        <v>245</v>
      </c>
      <c r="BN34" s="30" t="s">
        <v>245</v>
      </c>
      <c r="BO34" s="30" t="s">
        <v>245</v>
      </c>
      <c r="BP34" s="30" t="s">
        <v>245</v>
      </c>
      <c r="BQ34" s="30" t="s">
        <v>245</v>
      </c>
      <c r="BR34" s="30" t="s">
        <v>245</v>
      </c>
      <c r="BS34" s="30" t="s">
        <v>552</v>
      </c>
      <c r="BT34" s="30" t="str">
        <f>HYPERLINK("https%3A%2F%2Fwww.webofscience.com%2Fwos%2Fwoscc%2Ffull-record%2FWOS:000188647700005","View Full Record in Web of Science")</f>
        <v>View Full Record in Web of Science</v>
      </c>
    </row>
    <row r="35" spans="1:72" x14ac:dyDescent="0.2">
      <c r="A35" s="30" t="s">
        <v>243</v>
      </c>
      <c r="B35" s="30" t="s">
        <v>553</v>
      </c>
      <c r="C35" s="30" t="s">
        <v>245</v>
      </c>
      <c r="D35" s="30" t="s">
        <v>245</v>
      </c>
      <c r="E35" s="30" t="s">
        <v>245</v>
      </c>
      <c r="F35" s="30" t="s">
        <v>553</v>
      </c>
      <c r="G35" s="30" t="s">
        <v>245</v>
      </c>
      <c r="H35" s="30" t="s">
        <v>245</v>
      </c>
      <c r="I35" s="30" t="s">
        <v>554</v>
      </c>
      <c r="J35" s="30" t="s">
        <v>336</v>
      </c>
      <c r="K35" s="30" t="s">
        <v>245</v>
      </c>
      <c r="L35" s="30" t="s">
        <v>245</v>
      </c>
      <c r="M35" s="30" t="s">
        <v>245</v>
      </c>
      <c r="N35" s="30" t="s">
        <v>245</v>
      </c>
      <c r="O35" s="30" t="s">
        <v>245</v>
      </c>
      <c r="P35" s="30" t="s">
        <v>245</v>
      </c>
      <c r="Q35" s="30" t="s">
        <v>245</v>
      </c>
      <c r="R35" s="30" t="s">
        <v>245</v>
      </c>
      <c r="S35" s="30" t="s">
        <v>245</v>
      </c>
      <c r="T35" s="30" t="s">
        <v>245</v>
      </c>
      <c r="U35" s="30" t="s">
        <v>245</v>
      </c>
      <c r="V35" s="30" t="s">
        <v>245</v>
      </c>
      <c r="W35" s="30" t="s">
        <v>245</v>
      </c>
      <c r="X35" s="30" t="s">
        <v>245</v>
      </c>
      <c r="Y35" s="30" t="s">
        <v>245</v>
      </c>
      <c r="Z35" s="30" t="s">
        <v>245</v>
      </c>
      <c r="AA35" s="30" t="s">
        <v>342</v>
      </c>
      <c r="AB35" s="30" t="s">
        <v>245</v>
      </c>
      <c r="AC35" s="30" t="s">
        <v>245</v>
      </c>
      <c r="AD35" s="30" t="s">
        <v>245</v>
      </c>
      <c r="AE35" s="30" t="s">
        <v>245</v>
      </c>
      <c r="AF35" s="30" t="s">
        <v>245</v>
      </c>
      <c r="AG35" s="30" t="s">
        <v>245</v>
      </c>
      <c r="AH35" s="30" t="s">
        <v>245</v>
      </c>
      <c r="AI35" s="30" t="s">
        <v>245</v>
      </c>
      <c r="AJ35" s="30" t="s">
        <v>245</v>
      </c>
      <c r="AK35" s="30" t="s">
        <v>245</v>
      </c>
      <c r="AL35" s="30" t="s">
        <v>245</v>
      </c>
      <c r="AM35" s="30" t="s">
        <v>245</v>
      </c>
      <c r="AN35" s="30" t="s">
        <v>245</v>
      </c>
      <c r="AO35" s="30" t="s">
        <v>343</v>
      </c>
      <c r="AP35" s="30" t="s">
        <v>344</v>
      </c>
      <c r="AQ35" s="30" t="s">
        <v>245</v>
      </c>
      <c r="AR35" s="30" t="s">
        <v>245</v>
      </c>
      <c r="AS35" s="30" t="s">
        <v>245</v>
      </c>
      <c r="AT35" s="30" t="s">
        <v>454</v>
      </c>
      <c r="AU35" s="30">
        <v>2003</v>
      </c>
      <c r="AV35" s="30">
        <v>67</v>
      </c>
      <c r="AW35" s="30">
        <v>1</v>
      </c>
      <c r="AX35" s="30" t="s">
        <v>245</v>
      </c>
      <c r="AY35" s="30" t="s">
        <v>245</v>
      </c>
      <c r="AZ35" s="30" t="s">
        <v>245</v>
      </c>
      <c r="BA35" s="30" t="s">
        <v>245</v>
      </c>
      <c r="BB35" s="30">
        <v>47</v>
      </c>
      <c r="BC35" s="30">
        <v>54</v>
      </c>
      <c r="BD35" s="30" t="s">
        <v>245</v>
      </c>
      <c r="BE35" s="30" t="s">
        <v>555</v>
      </c>
      <c r="BF35" s="30" t="str">
        <f>HYPERLINK("http://dx.doi.org/10.1023/A:1025108911676","http://dx.doi.org/10.1023/A:1025108911676")</f>
        <v>http://dx.doi.org/10.1023/A:1025108911676</v>
      </c>
      <c r="BG35" s="30" t="s">
        <v>245</v>
      </c>
      <c r="BH35" s="30" t="s">
        <v>245</v>
      </c>
      <c r="BI35" s="30" t="s">
        <v>245</v>
      </c>
      <c r="BJ35" s="30" t="s">
        <v>245</v>
      </c>
      <c r="BK35" s="30" t="s">
        <v>245</v>
      </c>
      <c r="BL35" s="30" t="s">
        <v>245</v>
      </c>
      <c r="BM35" s="30" t="s">
        <v>245</v>
      </c>
      <c r="BN35" s="30" t="s">
        <v>245</v>
      </c>
      <c r="BO35" s="30" t="s">
        <v>245</v>
      </c>
      <c r="BP35" s="30" t="s">
        <v>245</v>
      </c>
      <c r="BQ35" s="30" t="s">
        <v>245</v>
      </c>
      <c r="BR35" s="30" t="s">
        <v>245</v>
      </c>
      <c r="BS35" s="30" t="s">
        <v>556</v>
      </c>
      <c r="BT35" s="30" t="str">
        <f>HYPERLINK("https%3A%2F%2Fwww.webofscience.com%2Fwos%2Fwoscc%2Ffull-record%2FWOS:000184736900006","View Full Record in Web of Science")</f>
        <v>View Full Record in Web of Science</v>
      </c>
    </row>
    <row r="36" spans="1:72" x14ac:dyDescent="0.2">
      <c r="A36" s="30" t="s">
        <v>243</v>
      </c>
      <c r="B36" s="30" t="s">
        <v>557</v>
      </c>
      <c r="C36" s="30" t="s">
        <v>245</v>
      </c>
      <c r="D36" s="30" t="s">
        <v>245</v>
      </c>
      <c r="E36" s="30" t="s">
        <v>245</v>
      </c>
      <c r="F36" s="30" t="s">
        <v>558</v>
      </c>
      <c r="G36" s="30" t="s">
        <v>245</v>
      </c>
      <c r="H36" s="30" t="s">
        <v>245</v>
      </c>
      <c r="I36" s="30" t="s">
        <v>559</v>
      </c>
      <c r="J36" s="30" t="s">
        <v>413</v>
      </c>
      <c r="K36" s="30" t="s">
        <v>245</v>
      </c>
      <c r="L36" s="30" t="s">
        <v>245</v>
      </c>
      <c r="M36" s="30" t="s">
        <v>245</v>
      </c>
      <c r="N36" s="30" t="s">
        <v>245</v>
      </c>
      <c r="O36" s="30" t="s">
        <v>245</v>
      </c>
      <c r="P36" s="30" t="s">
        <v>245</v>
      </c>
      <c r="Q36" s="30" t="s">
        <v>245</v>
      </c>
      <c r="R36" s="30" t="s">
        <v>245</v>
      </c>
      <c r="S36" s="30" t="s">
        <v>245</v>
      </c>
      <c r="T36" s="30" t="s">
        <v>245</v>
      </c>
      <c r="U36" s="30" t="s">
        <v>245</v>
      </c>
      <c r="V36" s="30" t="s">
        <v>245</v>
      </c>
      <c r="W36" s="30" t="s">
        <v>245</v>
      </c>
      <c r="X36" s="30" t="s">
        <v>245</v>
      </c>
      <c r="Y36" s="30" t="s">
        <v>245</v>
      </c>
      <c r="Z36" s="30" t="s">
        <v>245</v>
      </c>
      <c r="AA36" s="30" t="s">
        <v>560</v>
      </c>
      <c r="AB36" s="30" t="s">
        <v>561</v>
      </c>
      <c r="AC36" s="30" t="s">
        <v>245</v>
      </c>
      <c r="AD36" s="30" t="s">
        <v>245</v>
      </c>
      <c r="AE36" s="30" t="s">
        <v>245</v>
      </c>
      <c r="AF36" s="30" t="s">
        <v>245</v>
      </c>
      <c r="AG36" s="30" t="s">
        <v>245</v>
      </c>
      <c r="AH36" s="30" t="s">
        <v>245</v>
      </c>
      <c r="AI36" s="30" t="s">
        <v>245</v>
      </c>
      <c r="AJ36" s="30" t="s">
        <v>245</v>
      </c>
      <c r="AK36" s="30" t="s">
        <v>245</v>
      </c>
      <c r="AL36" s="30" t="s">
        <v>245</v>
      </c>
      <c r="AM36" s="30" t="s">
        <v>245</v>
      </c>
      <c r="AN36" s="30" t="s">
        <v>245</v>
      </c>
      <c r="AO36" s="30" t="s">
        <v>416</v>
      </c>
      <c r="AP36" s="30" t="s">
        <v>417</v>
      </c>
      <c r="AQ36" s="30" t="s">
        <v>245</v>
      </c>
      <c r="AR36" s="30" t="s">
        <v>245</v>
      </c>
      <c r="AS36" s="30" t="s">
        <v>245</v>
      </c>
      <c r="AT36" s="30" t="s">
        <v>562</v>
      </c>
      <c r="AU36" s="30">
        <v>2022</v>
      </c>
      <c r="AV36" s="30">
        <v>803</v>
      </c>
      <c r="AW36" s="30" t="s">
        <v>245</v>
      </c>
      <c r="AX36" s="30" t="s">
        <v>245</v>
      </c>
      <c r="AY36" s="30" t="s">
        <v>245</v>
      </c>
      <c r="AZ36" s="30" t="s">
        <v>245</v>
      </c>
      <c r="BA36" s="30" t="s">
        <v>245</v>
      </c>
      <c r="BB36" s="30" t="s">
        <v>245</v>
      </c>
      <c r="BC36" s="30" t="s">
        <v>245</v>
      </c>
      <c r="BD36" s="30">
        <v>149902</v>
      </c>
      <c r="BE36" s="30" t="s">
        <v>563</v>
      </c>
      <c r="BF36" s="30" t="str">
        <f>HYPERLINK("http://dx.doi.org/10.1016/j.scitotenv.2021.149902","http://dx.doi.org/10.1016/j.scitotenv.2021.149902")</f>
        <v>http://dx.doi.org/10.1016/j.scitotenv.2021.149902</v>
      </c>
      <c r="BG36" s="30" t="s">
        <v>245</v>
      </c>
      <c r="BH36" s="30" t="s">
        <v>564</v>
      </c>
      <c r="BI36" s="30" t="s">
        <v>245</v>
      </c>
      <c r="BJ36" s="30" t="s">
        <v>245</v>
      </c>
      <c r="BK36" s="30" t="s">
        <v>245</v>
      </c>
      <c r="BL36" s="30" t="s">
        <v>245</v>
      </c>
      <c r="BM36" s="30" t="s">
        <v>245</v>
      </c>
      <c r="BN36" s="30">
        <v>34482144</v>
      </c>
      <c r="BO36" s="30" t="s">
        <v>245</v>
      </c>
      <c r="BP36" s="30" t="s">
        <v>245</v>
      </c>
      <c r="BQ36" s="30" t="s">
        <v>245</v>
      </c>
      <c r="BR36" s="30" t="s">
        <v>245</v>
      </c>
      <c r="BS36" s="30" t="s">
        <v>565</v>
      </c>
      <c r="BT36" s="30" t="str">
        <f>HYPERLINK("https%3A%2F%2Fwww.webofscience.com%2Fwos%2Fwoscc%2Ffull-record%2FWOS:000702878700003","View Full Record in Web of Science")</f>
        <v>View Full Record in Web of Science</v>
      </c>
    </row>
    <row r="37" spans="1:72" x14ac:dyDescent="0.2">
      <c r="A37" s="30" t="s">
        <v>243</v>
      </c>
      <c r="B37" s="30" t="s">
        <v>566</v>
      </c>
      <c r="C37" s="30" t="s">
        <v>245</v>
      </c>
      <c r="D37" s="30" t="s">
        <v>245</v>
      </c>
      <c r="E37" s="30" t="s">
        <v>245</v>
      </c>
      <c r="F37" s="30" t="s">
        <v>567</v>
      </c>
      <c r="G37" s="30" t="s">
        <v>245</v>
      </c>
      <c r="H37" s="30" t="s">
        <v>245</v>
      </c>
      <c r="I37" s="30" t="s">
        <v>568</v>
      </c>
      <c r="J37" s="30" t="s">
        <v>336</v>
      </c>
      <c r="K37" s="30" t="s">
        <v>245</v>
      </c>
      <c r="L37" s="30" t="s">
        <v>245</v>
      </c>
      <c r="M37" s="30" t="s">
        <v>245</v>
      </c>
      <c r="N37" s="30" t="s">
        <v>245</v>
      </c>
      <c r="O37" s="30" t="s">
        <v>245</v>
      </c>
      <c r="P37" s="30" t="s">
        <v>245</v>
      </c>
      <c r="Q37" s="30" t="s">
        <v>245</v>
      </c>
      <c r="R37" s="30" t="s">
        <v>245</v>
      </c>
      <c r="S37" s="30" t="s">
        <v>245</v>
      </c>
      <c r="T37" s="30" t="s">
        <v>245</v>
      </c>
      <c r="U37" s="30" t="s">
        <v>245</v>
      </c>
      <c r="V37" s="30" t="s">
        <v>245</v>
      </c>
      <c r="W37" s="30" t="s">
        <v>245</v>
      </c>
      <c r="X37" s="30" t="s">
        <v>245</v>
      </c>
      <c r="Y37" s="30" t="s">
        <v>245</v>
      </c>
      <c r="Z37" s="30" t="s">
        <v>245</v>
      </c>
      <c r="AA37" s="30" t="s">
        <v>569</v>
      </c>
      <c r="AB37" s="30" t="s">
        <v>570</v>
      </c>
      <c r="AC37" s="30" t="s">
        <v>245</v>
      </c>
      <c r="AD37" s="30" t="s">
        <v>245</v>
      </c>
      <c r="AE37" s="30" t="s">
        <v>245</v>
      </c>
      <c r="AF37" s="30" t="s">
        <v>245</v>
      </c>
      <c r="AG37" s="30" t="s">
        <v>245</v>
      </c>
      <c r="AH37" s="30" t="s">
        <v>245</v>
      </c>
      <c r="AI37" s="30" t="s">
        <v>245</v>
      </c>
      <c r="AJ37" s="30" t="s">
        <v>245</v>
      </c>
      <c r="AK37" s="30" t="s">
        <v>245</v>
      </c>
      <c r="AL37" s="30" t="s">
        <v>245</v>
      </c>
      <c r="AM37" s="30" t="s">
        <v>245</v>
      </c>
      <c r="AN37" s="30" t="s">
        <v>245</v>
      </c>
      <c r="AO37" s="30" t="s">
        <v>343</v>
      </c>
      <c r="AP37" s="30" t="s">
        <v>344</v>
      </c>
      <c r="AQ37" s="30" t="s">
        <v>245</v>
      </c>
      <c r="AR37" s="30" t="s">
        <v>245</v>
      </c>
      <c r="AS37" s="30" t="s">
        <v>245</v>
      </c>
      <c r="AT37" s="30" t="s">
        <v>265</v>
      </c>
      <c r="AU37" s="30">
        <v>2012</v>
      </c>
      <c r="AV37" s="30">
        <v>93</v>
      </c>
      <c r="AW37" s="30">
        <v>2</v>
      </c>
      <c r="AX37" s="30" t="s">
        <v>245</v>
      </c>
      <c r="AY37" s="30" t="s">
        <v>245</v>
      </c>
      <c r="AZ37" s="30" t="s">
        <v>245</v>
      </c>
      <c r="BA37" s="30" t="s">
        <v>245</v>
      </c>
      <c r="BB37" s="30">
        <v>127</v>
      </c>
      <c r="BC37" s="30">
        <v>149</v>
      </c>
      <c r="BD37" s="30" t="s">
        <v>245</v>
      </c>
      <c r="BE37" s="30" t="s">
        <v>571</v>
      </c>
      <c r="BF37" s="30" t="str">
        <f>HYPERLINK("http://dx.doi.org/10.1007/s10705-012-9505-1","http://dx.doi.org/10.1007/s10705-012-9505-1")</f>
        <v>http://dx.doi.org/10.1007/s10705-012-9505-1</v>
      </c>
      <c r="BG37" s="30" t="s">
        <v>245</v>
      </c>
      <c r="BH37" s="30" t="s">
        <v>245</v>
      </c>
      <c r="BI37" s="30" t="s">
        <v>245</v>
      </c>
      <c r="BJ37" s="30" t="s">
        <v>245</v>
      </c>
      <c r="BK37" s="30" t="s">
        <v>245</v>
      </c>
      <c r="BL37" s="30" t="s">
        <v>245</v>
      </c>
      <c r="BM37" s="30" t="s">
        <v>245</v>
      </c>
      <c r="BN37" s="30" t="s">
        <v>245</v>
      </c>
      <c r="BO37" s="30" t="s">
        <v>245</v>
      </c>
      <c r="BP37" s="30" t="s">
        <v>245</v>
      </c>
      <c r="BQ37" s="30" t="s">
        <v>245</v>
      </c>
      <c r="BR37" s="30" t="s">
        <v>245</v>
      </c>
      <c r="BS37" s="30" t="s">
        <v>572</v>
      </c>
      <c r="BT37" s="30" t="str">
        <f>HYPERLINK("https%3A%2F%2Fwww.webofscience.com%2Fwos%2Fwoscc%2Ffull-record%2FWOS:000305962000002","View Full Record in Web of Science")</f>
        <v>View Full Record in Web of Science</v>
      </c>
    </row>
    <row r="38" spans="1:72" x14ac:dyDescent="0.2">
      <c r="A38" s="30" t="s">
        <v>243</v>
      </c>
      <c r="B38" s="30" t="s">
        <v>573</v>
      </c>
      <c r="C38" s="30" t="s">
        <v>245</v>
      </c>
      <c r="D38" s="30" t="s">
        <v>245</v>
      </c>
      <c r="E38" s="30" t="s">
        <v>245</v>
      </c>
      <c r="F38" s="30" t="s">
        <v>573</v>
      </c>
      <c r="G38" s="30" t="s">
        <v>245</v>
      </c>
      <c r="H38" s="30" t="s">
        <v>245</v>
      </c>
      <c r="I38" s="30" t="s">
        <v>574</v>
      </c>
      <c r="J38" s="30" t="s">
        <v>493</v>
      </c>
      <c r="K38" s="30" t="s">
        <v>245</v>
      </c>
      <c r="L38" s="30" t="s">
        <v>245</v>
      </c>
      <c r="M38" s="30" t="s">
        <v>245</v>
      </c>
      <c r="N38" s="30" t="s">
        <v>245</v>
      </c>
      <c r="O38" s="30" t="s">
        <v>245</v>
      </c>
      <c r="P38" s="30" t="s">
        <v>245</v>
      </c>
      <c r="Q38" s="30" t="s">
        <v>245</v>
      </c>
      <c r="R38" s="30" t="s">
        <v>245</v>
      </c>
      <c r="S38" s="30" t="s">
        <v>245</v>
      </c>
      <c r="T38" s="30" t="s">
        <v>245</v>
      </c>
      <c r="U38" s="30" t="s">
        <v>245</v>
      </c>
      <c r="V38" s="30" t="s">
        <v>245</v>
      </c>
      <c r="W38" s="30" t="s">
        <v>245</v>
      </c>
      <c r="X38" s="30" t="s">
        <v>245</v>
      </c>
      <c r="Y38" s="30" t="s">
        <v>245</v>
      </c>
      <c r="Z38" s="30" t="s">
        <v>245</v>
      </c>
      <c r="AA38" s="30" t="s">
        <v>245</v>
      </c>
      <c r="AB38" s="30" t="s">
        <v>245</v>
      </c>
      <c r="AC38" s="30" t="s">
        <v>245</v>
      </c>
      <c r="AD38" s="30" t="s">
        <v>245</v>
      </c>
      <c r="AE38" s="30" t="s">
        <v>245</v>
      </c>
      <c r="AF38" s="30" t="s">
        <v>245</v>
      </c>
      <c r="AG38" s="30" t="s">
        <v>245</v>
      </c>
      <c r="AH38" s="30" t="s">
        <v>245</v>
      </c>
      <c r="AI38" s="30" t="s">
        <v>245</v>
      </c>
      <c r="AJ38" s="30" t="s">
        <v>245</v>
      </c>
      <c r="AK38" s="30" t="s">
        <v>245</v>
      </c>
      <c r="AL38" s="30" t="s">
        <v>245</v>
      </c>
      <c r="AM38" s="30" t="s">
        <v>245</v>
      </c>
      <c r="AN38" s="30" t="s">
        <v>245</v>
      </c>
      <c r="AO38" s="30" t="s">
        <v>494</v>
      </c>
      <c r="AP38" s="30" t="s">
        <v>495</v>
      </c>
      <c r="AQ38" s="30" t="s">
        <v>245</v>
      </c>
      <c r="AR38" s="30" t="s">
        <v>245</v>
      </c>
      <c r="AS38" s="30" t="s">
        <v>245</v>
      </c>
      <c r="AT38" s="30" t="s">
        <v>575</v>
      </c>
      <c r="AU38" s="30">
        <v>1986</v>
      </c>
      <c r="AV38" s="30">
        <v>50</v>
      </c>
      <c r="AW38" s="30">
        <v>2</v>
      </c>
      <c r="AX38" s="30" t="s">
        <v>245</v>
      </c>
      <c r="AY38" s="30" t="s">
        <v>245</v>
      </c>
      <c r="AZ38" s="30" t="s">
        <v>245</v>
      </c>
      <c r="BA38" s="30" t="s">
        <v>245</v>
      </c>
      <c r="BB38" s="30">
        <v>344</v>
      </c>
      <c r="BC38" s="30">
        <v>348</v>
      </c>
      <c r="BD38" s="30" t="s">
        <v>245</v>
      </c>
      <c r="BE38" s="30" t="s">
        <v>576</v>
      </c>
      <c r="BF38" s="30" t="str">
        <f>HYPERLINK("http://dx.doi.org/10.2136/sssaj1986.03615995005000020018x","http://dx.doi.org/10.2136/sssaj1986.03615995005000020018x")</f>
        <v>http://dx.doi.org/10.2136/sssaj1986.03615995005000020018x</v>
      </c>
      <c r="BG38" s="30" t="s">
        <v>245</v>
      </c>
      <c r="BH38" s="30" t="s">
        <v>245</v>
      </c>
      <c r="BI38" s="30" t="s">
        <v>245</v>
      </c>
      <c r="BJ38" s="30" t="s">
        <v>245</v>
      </c>
      <c r="BK38" s="30" t="s">
        <v>245</v>
      </c>
      <c r="BL38" s="30" t="s">
        <v>245</v>
      </c>
      <c r="BM38" s="30" t="s">
        <v>245</v>
      </c>
      <c r="BN38" s="30" t="s">
        <v>245</v>
      </c>
      <c r="BO38" s="30" t="s">
        <v>245</v>
      </c>
      <c r="BP38" s="30" t="s">
        <v>245</v>
      </c>
      <c r="BQ38" s="30" t="s">
        <v>245</v>
      </c>
      <c r="BR38" s="30" t="s">
        <v>245</v>
      </c>
      <c r="BS38" s="30" t="s">
        <v>577</v>
      </c>
      <c r="BT38" s="30" t="str">
        <f>HYPERLINK("https%3A%2F%2Fwww.webofscience.com%2Fwos%2Fwoscc%2Ffull-record%2FWOS:A1986C037200018","View Full Record in Web of Science")</f>
        <v>View Full Record in Web of Science</v>
      </c>
    </row>
    <row r="39" spans="1:72" x14ac:dyDescent="0.2">
      <c r="A39" s="30" t="s">
        <v>243</v>
      </c>
      <c r="B39" s="30" t="s">
        <v>578</v>
      </c>
      <c r="C39" s="30" t="s">
        <v>245</v>
      </c>
      <c r="D39" s="30" t="s">
        <v>245</v>
      </c>
      <c r="E39" s="30" t="s">
        <v>245</v>
      </c>
      <c r="F39" s="30" t="s">
        <v>579</v>
      </c>
      <c r="G39" s="30" t="s">
        <v>245</v>
      </c>
      <c r="H39" s="30" t="s">
        <v>245</v>
      </c>
      <c r="I39" s="30" t="s">
        <v>580</v>
      </c>
      <c r="J39" s="30" t="s">
        <v>469</v>
      </c>
      <c r="K39" s="30" t="s">
        <v>245</v>
      </c>
      <c r="L39" s="30" t="s">
        <v>245</v>
      </c>
      <c r="M39" s="30" t="s">
        <v>245</v>
      </c>
      <c r="N39" s="30" t="s">
        <v>245</v>
      </c>
      <c r="O39" s="30" t="s">
        <v>245</v>
      </c>
      <c r="P39" s="30" t="s">
        <v>245</v>
      </c>
      <c r="Q39" s="30" t="s">
        <v>245</v>
      </c>
      <c r="R39" s="30" t="s">
        <v>245</v>
      </c>
      <c r="S39" s="30" t="s">
        <v>245</v>
      </c>
      <c r="T39" s="30" t="s">
        <v>245</v>
      </c>
      <c r="U39" s="30" t="s">
        <v>245</v>
      </c>
      <c r="V39" s="30" t="s">
        <v>245</v>
      </c>
      <c r="W39" s="30" t="s">
        <v>245</v>
      </c>
      <c r="X39" s="30" t="s">
        <v>245</v>
      </c>
      <c r="Y39" s="30" t="s">
        <v>245</v>
      </c>
      <c r="Z39" s="30" t="s">
        <v>245</v>
      </c>
      <c r="AA39" s="30" t="s">
        <v>581</v>
      </c>
      <c r="AB39" s="30" t="s">
        <v>582</v>
      </c>
      <c r="AC39" s="30" t="s">
        <v>245</v>
      </c>
      <c r="AD39" s="30" t="s">
        <v>245</v>
      </c>
      <c r="AE39" s="30" t="s">
        <v>245</v>
      </c>
      <c r="AF39" s="30" t="s">
        <v>245</v>
      </c>
      <c r="AG39" s="30" t="s">
        <v>245</v>
      </c>
      <c r="AH39" s="30" t="s">
        <v>245</v>
      </c>
      <c r="AI39" s="30" t="s">
        <v>245</v>
      </c>
      <c r="AJ39" s="30" t="s">
        <v>245</v>
      </c>
      <c r="AK39" s="30" t="s">
        <v>245</v>
      </c>
      <c r="AL39" s="30" t="s">
        <v>245</v>
      </c>
      <c r="AM39" s="30" t="s">
        <v>245</v>
      </c>
      <c r="AN39" s="30" t="s">
        <v>245</v>
      </c>
      <c r="AO39" s="30" t="s">
        <v>472</v>
      </c>
      <c r="AP39" s="30" t="s">
        <v>473</v>
      </c>
      <c r="AQ39" s="30" t="s">
        <v>245</v>
      </c>
      <c r="AR39" s="30" t="s">
        <v>245</v>
      </c>
      <c r="AS39" s="30" t="s">
        <v>245</v>
      </c>
      <c r="AT39" s="30" t="s">
        <v>418</v>
      </c>
      <c r="AU39" s="30">
        <v>2022</v>
      </c>
      <c r="AV39" s="30">
        <v>405</v>
      </c>
      <c r="AW39" s="30" t="s">
        <v>245</v>
      </c>
      <c r="AX39" s="30" t="s">
        <v>245</v>
      </c>
      <c r="AY39" s="30" t="s">
        <v>245</v>
      </c>
      <c r="AZ39" s="30" t="s">
        <v>245</v>
      </c>
      <c r="BA39" s="30" t="s">
        <v>245</v>
      </c>
      <c r="BB39" s="30" t="s">
        <v>245</v>
      </c>
      <c r="BC39" s="30" t="s">
        <v>245</v>
      </c>
      <c r="BD39" s="30">
        <v>115444</v>
      </c>
      <c r="BE39" s="30" t="s">
        <v>583</v>
      </c>
      <c r="BF39" s="30" t="str">
        <f>HYPERLINK("http://dx.doi.org/10.1016/j.geoderma.2021.115444","http://dx.doi.org/10.1016/j.geoderma.2021.115444")</f>
        <v>http://dx.doi.org/10.1016/j.geoderma.2021.115444</v>
      </c>
      <c r="BG39" s="30" t="s">
        <v>245</v>
      </c>
      <c r="BH39" s="30" t="s">
        <v>564</v>
      </c>
      <c r="BI39" s="30" t="s">
        <v>245</v>
      </c>
      <c r="BJ39" s="30" t="s">
        <v>245</v>
      </c>
      <c r="BK39" s="30" t="s">
        <v>245</v>
      </c>
      <c r="BL39" s="30" t="s">
        <v>245</v>
      </c>
      <c r="BM39" s="30" t="s">
        <v>245</v>
      </c>
      <c r="BN39" s="30" t="s">
        <v>245</v>
      </c>
      <c r="BO39" s="30" t="s">
        <v>245</v>
      </c>
      <c r="BP39" s="30" t="s">
        <v>245</v>
      </c>
      <c r="BQ39" s="30" t="s">
        <v>245</v>
      </c>
      <c r="BR39" s="30" t="s">
        <v>245</v>
      </c>
      <c r="BS39" s="30" t="s">
        <v>584</v>
      </c>
      <c r="BT39" s="30" t="str">
        <f>HYPERLINK("https%3A%2F%2Fwww.webofscience.com%2Fwos%2Fwoscc%2Ffull-record%2FWOS:000703712100031","View Full Record in Web of Science")</f>
        <v>View Full Record in Web of Science</v>
      </c>
    </row>
    <row r="40" spans="1:72" x14ac:dyDescent="0.2">
      <c r="A40" s="30" t="s">
        <v>243</v>
      </c>
      <c r="B40" s="30" t="s">
        <v>585</v>
      </c>
      <c r="C40" s="30" t="s">
        <v>245</v>
      </c>
      <c r="D40" s="30" t="s">
        <v>245</v>
      </c>
      <c r="E40" s="30" t="s">
        <v>245</v>
      </c>
      <c r="F40" s="30" t="s">
        <v>585</v>
      </c>
      <c r="G40" s="30" t="s">
        <v>245</v>
      </c>
      <c r="H40" s="30" t="s">
        <v>245</v>
      </c>
      <c r="I40" s="30" t="s">
        <v>586</v>
      </c>
      <c r="J40" s="30" t="s">
        <v>587</v>
      </c>
      <c r="K40" s="30" t="s">
        <v>245</v>
      </c>
      <c r="L40" s="30" t="s">
        <v>245</v>
      </c>
      <c r="M40" s="30" t="s">
        <v>245</v>
      </c>
      <c r="N40" s="30" t="s">
        <v>245</v>
      </c>
      <c r="O40" s="30" t="s">
        <v>245</v>
      </c>
      <c r="P40" s="30" t="s">
        <v>245</v>
      </c>
      <c r="Q40" s="30" t="s">
        <v>245</v>
      </c>
      <c r="R40" s="30" t="s">
        <v>245</v>
      </c>
      <c r="S40" s="30" t="s">
        <v>245</v>
      </c>
      <c r="T40" s="30" t="s">
        <v>245</v>
      </c>
      <c r="U40" s="30" t="s">
        <v>245</v>
      </c>
      <c r="V40" s="30" t="s">
        <v>245</v>
      </c>
      <c r="W40" s="30" t="s">
        <v>245</v>
      </c>
      <c r="X40" s="30" t="s">
        <v>245</v>
      </c>
      <c r="Y40" s="30" t="s">
        <v>245</v>
      </c>
      <c r="Z40" s="30" t="s">
        <v>245</v>
      </c>
      <c r="AA40" s="30" t="s">
        <v>588</v>
      </c>
      <c r="AB40" s="30" t="s">
        <v>589</v>
      </c>
      <c r="AC40" s="30" t="s">
        <v>245</v>
      </c>
      <c r="AD40" s="30" t="s">
        <v>245</v>
      </c>
      <c r="AE40" s="30" t="s">
        <v>245</v>
      </c>
      <c r="AF40" s="30" t="s">
        <v>245</v>
      </c>
      <c r="AG40" s="30" t="s">
        <v>245</v>
      </c>
      <c r="AH40" s="30" t="s">
        <v>245</v>
      </c>
      <c r="AI40" s="30" t="s">
        <v>245</v>
      </c>
      <c r="AJ40" s="30" t="s">
        <v>245</v>
      </c>
      <c r="AK40" s="30" t="s">
        <v>245</v>
      </c>
      <c r="AL40" s="30" t="s">
        <v>245</v>
      </c>
      <c r="AM40" s="30" t="s">
        <v>245</v>
      </c>
      <c r="AN40" s="30" t="s">
        <v>245</v>
      </c>
      <c r="AO40" s="30" t="s">
        <v>590</v>
      </c>
      <c r="AP40" s="30" t="s">
        <v>591</v>
      </c>
      <c r="AQ40" s="30" t="s">
        <v>245</v>
      </c>
      <c r="AR40" s="30" t="s">
        <v>245</v>
      </c>
      <c r="AS40" s="30" t="s">
        <v>245</v>
      </c>
      <c r="AT40" s="30" t="s">
        <v>365</v>
      </c>
      <c r="AU40" s="30">
        <v>2004</v>
      </c>
      <c r="AV40" s="30">
        <v>167</v>
      </c>
      <c r="AW40" s="30">
        <v>1</v>
      </c>
      <c r="AX40" s="30" t="s">
        <v>245</v>
      </c>
      <c r="AY40" s="30" t="s">
        <v>245</v>
      </c>
      <c r="AZ40" s="30" t="s">
        <v>245</v>
      </c>
      <c r="BA40" s="30" t="s">
        <v>245</v>
      </c>
      <c r="BB40" s="30">
        <v>7</v>
      </c>
      <c r="BC40" s="30">
        <v>16</v>
      </c>
      <c r="BD40" s="30" t="s">
        <v>245</v>
      </c>
      <c r="BE40" s="30" t="s">
        <v>592</v>
      </c>
      <c r="BF40" s="30" t="str">
        <f>HYPERLINK("http://dx.doi.org/10.1002/jpln.200321204","http://dx.doi.org/10.1002/jpln.200321204")</f>
        <v>http://dx.doi.org/10.1002/jpln.200321204</v>
      </c>
      <c r="BG40" s="30" t="s">
        <v>245</v>
      </c>
      <c r="BH40" s="30" t="s">
        <v>245</v>
      </c>
      <c r="BI40" s="30" t="s">
        <v>245</v>
      </c>
      <c r="BJ40" s="30" t="s">
        <v>245</v>
      </c>
      <c r="BK40" s="30" t="s">
        <v>245</v>
      </c>
      <c r="BL40" s="30" t="s">
        <v>245</v>
      </c>
      <c r="BM40" s="30" t="s">
        <v>245</v>
      </c>
      <c r="BN40" s="30" t="s">
        <v>245</v>
      </c>
      <c r="BO40" s="30" t="s">
        <v>245</v>
      </c>
      <c r="BP40" s="30" t="s">
        <v>245</v>
      </c>
      <c r="BQ40" s="30" t="s">
        <v>245</v>
      </c>
      <c r="BR40" s="30" t="s">
        <v>245</v>
      </c>
      <c r="BS40" s="30" t="s">
        <v>593</v>
      </c>
      <c r="BT40" s="30" t="str">
        <f>HYPERLINK("https%3A%2F%2Fwww.webofscience.com%2Fwos%2Fwoscc%2Ffull-record%2FWOS:000189158000001","View Full Record in Web of Science")</f>
        <v>View Full Record in Web of Science</v>
      </c>
    </row>
    <row r="41" spans="1:72" x14ac:dyDescent="0.2">
      <c r="A41" s="30" t="s">
        <v>243</v>
      </c>
      <c r="B41" s="30" t="s">
        <v>594</v>
      </c>
      <c r="C41" s="30" t="s">
        <v>245</v>
      </c>
      <c r="D41" s="30" t="s">
        <v>245</v>
      </c>
      <c r="E41" s="30" t="s">
        <v>245</v>
      </c>
      <c r="F41" s="30" t="s">
        <v>595</v>
      </c>
      <c r="G41" s="30" t="s">
        <v>245</v>
      </c>
      <c r="H41" s="30" t="s">
        <v>245</v>
      </c>
      <c r="I41" s="30" t="s">
        <v>596</v>
      </c>
      <c r="J41" s="30" t="s">
        <v>413</v>
      </c>
      <c r="K41" s="30" t="s">
        <v>245</v>
      </c>
      <c r="L41" s="30" t="s">
        <v>245</v>
      </c>
      <c r="M41" s="30" t="s">
        <v>245</v>
      </c>
      <c r="N41" s="30" t="s">
        <v>245</v>
      </c>
      <c r="O41" s="30" t="s">
        <v>245</v>
      </c>
      <c r="P41" s="30" t="s">
        <v>245</v>
      </c>
      <c r="Q41" s="30" t="s">
        <v>245</v>
      </c>
      <c r="R41" s="30" t="s">
        <v>245</v>
      </c>
      <c r="S41" s="30" t="s">
        <v>245</v>
      </c>
      <c r="T41" s="30" t="s">
        <v>245</v>
      </c>
      <c r="U41" s="30" t="s">
        <v>245</v>
      </c>
      <c r="V41" s="30" t="s">
        <v>245</v>
      </c>
      <c r="W41" s="30" t="s">
        <v>245</v>
      </c>
      <c r="X41" s="30" t="s">
        <v>245</v>
      </c>
      <c r="Y41" s="30" t="s">
        <v>245</v>
      </c>
      <c r="Z41" s="30" t="s">
        <v>245</v>
      </c>
      <c r="AA41" s="30" t="s">
        <v>597</v>
      </c>
      <c r="AB41" s="30" t="s">
        <v>598</v>
      </c>
      <c r="AC41" s="30" t="s">
        <v>245</v>
      </c>
      <c r="AD41" s="30" t="s">
        <v>245</v>
      </c>
      <c r="AE41" s="30" t="s">
        <v>245</v>
      </c>
      <c r="AF41" s="30" t="s">
        <v>245</v>
      </c>
      <c r="AG41" s="30" t="s">
        <v>245</v>
      </c>
      <c r="AH41" s="30" t="s">
        <v>245</v>
      </c>
      <c r="AI41" s="30" t="s">
        <v>245</v>
      </c>
      <c r="AJ41" s="30" t="s">
        <v>245</v>
      </c>
      <c r="AK41" s="30" t="s">
        <v>245</v>
      </c>
      <c r="AL41" s="30" t="s">
        <v>245</v>
      </c>
      <c r="AM41" s="30" t="s">
        <v>245</v>
      </c>
      <c r="AN41" s="30" t="s">
        <v>245</v>
      </c>
      <c r="AO41" s="30" t="s">
        <v>416</v>
      </c>
      <c r="AP41" s="30" t="s">
        <v>417</v>
      </c>
      <c r="AQ41" s="30" t="s">
        <v>245</v>
      </c>
      <c r="AR41" s="30" t="s">
        <v>245</v>
      </c>
      <c r="AS41" s="30" t="s">
        <v>245</v>
      </c>
      <c r="AT41" s="30" t="s">
        <v>487</v>
      </c>
      <c r="AU41" s="30">
        <v>2018</v>
      </c>
      <c r="AV41" s="30">
        <v>616</v>
      </c>
      <c r="AW41" s="30" t="s">
        <v>245</v>
      </c>
      <c r="AX41" s="30" t="s">
        <v>245</v>
      </c>
      <c r="AY41" s="30" t="s">
        <v>245</v>
      </c>
      <c r="AZ41" s="30" t="s">
        <v>245</v>
      </c>
      <c r="BA41" s="30" t="s">
        <v>245</v>
      </c>
      <c r="BB41" s="30">
        <v>1404</v>
      </c>
      <c r="BC41" s="30">
        <v>1413</v>
      </c>
      <c r="BD41" s="30" t="s">
        <v>245</v>
      </c>
      <c r="BE41" s="30" t="s">
        <v>599</v>
      </c>
      <c r="BF41" s="30" t="str">
        <f>HYPERLINK("http://dx.doi.org/10.1016/j.scitotenv.2017.10.175","http://dx.doi.org/10.1016/j.scitotenv.2017.10.175")</f>
        <v>http://dx.doi.org/10.1016/j.scitotenv.2017.10.175</v>
      </c>
      <c r="BG41" s="30" t="s">
        <v>245</v>
      </c>
      <c r="BH41" s="30" t="s">
        <v>245</v>
      </c>
      <c r="BI41" s="30" t="s">
        <v>245</v>
      </c>
      <c r="BJ41" s="30" t="s">
        <v>245</v>
      </c>
      <c r="BK41" s="30" t="s">
        <v>245</v>
      </c>
      <c r="BL41" s="30" t="s">
        <v>245</v>
      </c>
      <c r="BM41" s="30" t="s">
        <v>245</v>
      </c>
      <c r="BN41" s="30">
        <v>29122343</v>
      </c>
      <c r="BO41" s="30" t="s">
        <v>245</v>
      </c>
      <c r="BP41" s="30" t="s">
        <v>245</v>
      </c>
      <c r="BQ41" s="30" t="s">
        <v>245</v>
      </c>
      <c r="BR41" s="30" t="s">
        <v>245</v>
      </c>
      <c r="BS41" s="30" t="s">
        <v>600</v>
      </c>
      <c r="BT41" s="30" t="str">
        <f>HYPERLINK("https%3A%2F%2Fwww.webofscience.com%2Fwos%2Fwoscc%2Ffull-record%2FWOS:000424121800140","View Full Record in Web of Science")</f>
        <v>View Full Record in Web of Science</v>
      </c>
    </row>
    <row r="42" spans="1:72" x14ac:dyDescent="0.2">
      <c r="A42" s="30" t="s">
        <v>243</v>
      </c>
      <c r="B42" s="30" t="s">
        <v>601</v>
      </c>
      <c r="C42" s="30" t="s">
        <v>245</v>
      </c>
      <c r="D42" s="30" t="s">
        <v>245</v>
      </c>
      <c r="E42" s="30" t="s">
        <v>245</v>
      </c>
      <c r="F42" s="30" t="s">
        <v>602</v>
      </c>
      <c r="G42" s="30" t="s">
        <v>245</v>
      </c>
      <c r="H42" s="30" t="s">
        <v>245</v>
      </c>
      <c r="I42" s="30" t="s">
        <v>603</v>
      </c>
      <c r="J42" s="30" t="s">
        <v>336</v>
      </c>
      <c r="K42" s="30" t="s">
        <v>245</v>
      </c>
      <c r="L42" s="30" t="s">
        <v>245</v>
      </c>
      <c r="M42" s="30" t="s">
        <v>245</v>
      </c>
      <c r="N42" s="30" t="s">
        <v>245</v>
      </c>
      <c r="O42" s="30" t="s">
        <v>245</v>
      </c>
      <c r="P42" s="30" t="s">
        <v>245</v>
      </c>
      <c r="Q42" s="30" t="s">
        <v>245</v>
      </c>
      <c r="R42" s="30" t="s">
        <v>245</v>
      </c>
      <c r="S42" s="30" t="s">
        <v>245</v>
      </c>
      <c r="T42" s="30" t="s">
        <v>245</v>
      </c>
      <c r="U42" s="30" t="s">
        <v>245</v>
      </c>
      <c r="V42" s="30" t="s">
        <v>245</v>
      </c>
      <c r="W42" s="30" t="s">
        <v>245</v>
      </c>
      <c r="X42" s="30" t="s">
        <v>245</v>
      </c>
      <c r="Y42" s="30" t="s">
        <v>245</v>
      </c>
      <c r="Z42" s="30" t="s">
        <v>245</v>
      </c>
      <c r="AA42" s="30" t="s">
        <v>604</v>
      </c>
      <c r="AB42" s="30" t="s">
        <v>605</v>
      </c>
      <c r="AC42" s="30" t="s">
        <v>245</v>
      </c>
      <c r="AD42" s="30" t="s">
        <v>245</v>
      </c>
      <c r="AE42" s="30" t="s">
        <v>245</v>
      </c>
      <c r="AF42" s="30" t="s">
        <v>245</v>
      </c>
      <c r="AG42" s="30" t="s">
        <v>245</v>
      </c>
      <c r="AH42" s="30" t="s">
        <v>245</v>
      </c>
      <c r="AI42" s="30" t="s">
        <v>245</v>
      </c>
      <c r="AJ42" s="30" t="s">
        <v>245</v>
      </c>
      <c r="AK42" s="30" t="s">
        <v>245</v>
      </c>
      <c r="AL42" s="30" t="s">
        <v>245</v>
      </c>
      <c r="AM42" s="30" t="s">
        <v>245</v>
      </c>
      <c r="AN42" s="30" t="s">
        <v>245</v>
      </c>
      <c r="AO42" s="30" t="s">
        <v>343</v>
      </c>
      <c r="AP42" s="30" t="s">
        <v>344</v>
      </c>
      <c r="AQ42" s="30" t="s">
        <v>245</v>
      </c>
      <c r="AR42" s="30" t="s">
        <v>245</v>
      </c>
      <c r="AS42" s="30" t="s">
        <v>245</v>
      </c>
      <c r="AT42" s="30" t="s">
        <v>481</v>
      </c>
      <c r="AU42" s="30">
        <v>2023</v>
      </c>
      <c r="AV42" s="30">
        <v>127</v>
      </c>
      <c r="AW42" s="30">
        <v>3</v>
      </c>
      <c r="AX42" s="30" t="s">
        <v>245</v>
      </c>
      <c r="AY42" s="30" t="s">
        <v>245</v>
      </c>
      <c r="AZ42" s="30" t="s">
        <v>245</v>
      </c>
      <c r="BA42" s="30" t="s">
        <v>245</v>
      </c>
      <c r="BB42" s="30">
        <v>317</v>
      </c>
      <c r="BC42" s="30">
        <v>331</v>
      </c>
      <c r="BD42" s="30" t="s">
        <v>245</v>
      </c>
      <c r="BE42" s="30" t="s">
        <v>606</v>
      </c>
      <c r="BF42" s="30" t="str">
        <f>HYPERLINK("http://dx.doi.org/10.1007/s10705-023-10321-w","http://dx.doi.org/10.1007/s10705-023-10321-w")</f>
        <v>http://dx.doi.org/10.1007/s10705-023-10321-w</v>
      </c>
      <c r="BG42" s="30" t="s">
        <v>245</v>
      </c>
      <c r="BH42" s="30" t="s">
        <v>607</v>
      </c>
      <c r="BI42" s="30" t="s">
        <v>245</v>
      </c>
      <c r="BJ42" s="30" t="s">
        <v>245</v>
      </c>
      <c r="BK42" s="30" t="s">
        <v>245</v>
      </c>
      <c r="BL42" s="30" t="s">
        <v>245</v>
      </c>
      <c r="BM42" s="30" t="s">
        <v>245</v>
      </c>
      <c r="BN42" s="30">
        <v>38025204</v>
      </c>
      <c r="BO42" s="30" t="s">
        <v>245</v>
      </c>
      <c r="BP42" s="30" t="s">
        <v>245</v>
      </c>
      <c r="BQ42" s="30" t="s">
        <v>245</v>
      </c>
      <c r="BR42" s="30" t="s">
        <v>245</v>
      </c>
      <c r="BS42" s="30" t="s">
        <v>608</v>
      </c>
      <c r="BT42" s="30" t="str">
        <f>HYPERLINK("https%3A%2F%2Fwww.webofscience.com%2Fwos%2Fwoscc%2Ffull-record%2FWOS:001087541000001","View Full Record in Web of Science")</f>
        <v>View Full Record in Web of Science</v>
      </c>
    </row>
    <row r="43" spans="1:72" x14ac:dyDescent="0.2">
      <c r="A43" s="30" t="s">
        <v>243</v>
      </c>
      <c r="B43" s="30" t="s">
        <v>609</v>
      </c>
      <c r="C43" s="30" t="s">
        <v>245</v>
      </c>
      <c r="D43" s="30" t="s">
        <v>245</v>
      </c>
      <c r="E43" s="30" t="s">
        <v>245</v>
      </c>
      <c r="F43" s="30" t="s">
        <v>609</v>
      </c>
      <c r="G43" s="30" t="s">
        <v>245</v>
      </c>
      <c r="H43" s="30" t="s">
        <v>245</v>
      </c>
      <c r="I43" s="30" t="s">
        <v>610</v>
      </c>
      <c r="J43" s="30" t="s">
        <v>336</v>
      </c>
      <c r="K43" s="30" t="s">
        <v>245</v>
      </c>
      <c r="L43" s="30" t="s">
        <v>245</v>
      </c>
      <c r="M43" s="30" t="s">
        <v>245</v>
      </c>
      <c r="N43" s="30" t="s">
        <v>245</v>
      </c>
      <c r="O43" s="30" t="s">
        <v>245</v>
      </c>
      <c r="P43" s="30" t="s">
        <v>245</v>
      </c>
      <c r="Q43" s="30" t="s">
        <v>245</v>
      </c>
      <c r="R43" s="30" t="s">
        <v>245</v>
      </c>
      <c r="S43" s="30" t="s">
        <v>245</v>
      </c>
      <c r="T43" s="30" t="s">
        <v>245</v>
      </c>
      <c r="U43" s="30" t="s">
        <v>245</v>
      </c>
      <c r="V43" s="30" t="s">
        <v>245</v>
      </c>
      <c r="W43" s="30" t="s">
        <v>245</v>
      </c>
      <c r="X43" s="30" t="s">
        <v>245</v>
      </c>
      <c r="Y43" s="30" t="s">
        <v>245</v>
      </c>
      <c r="Z43" s="30" t="s">
        <v>245</v>
      </c>
      <c r="AA43" s="30" t="s">
        <v>611</v>
      </c>
      <c r="AB43" s="30" t="s">
        <v>612</v>
      </c>
      <c r="AC43" s="30" t="s">
        <v>245</v>
      </c>
      <c r="AD43" s="30" t="s">
        <v>245</v>
      </c>
      <c r="AE43" s="30" t="s">
        <v>245</v>
      </c>
      <c r="AF43" s="30" t="s">
        <v>245</v>
      </c>
      <c r="AG43" s="30" t="s">
        <v>245</v>
      </c>
      <c r="AH43" s="30" t="s">
        <v>245</v>
      </c>
      <c r="AI43" s="30" t="s">
        <v>245</v>
      </c>
      <c r="AJ43" s="30" t="s">
        <v>245</v>
      </c>
      <c r="AK43" s="30" t="s">
        <v>245</v>
      </c>
      <c r="AL43" s="30" t="s">
        <v>245</v>
      </c>
      <c r="AM43" s="30" t="s">
        <v>245</v>
      </c>
      <c r="AN43" s="30" t="s">
        <v>245</v>
      </c>
      <c r="AO43" s="30" t="s">
        <v>343</v>
      </c>
      <c r="AP43" s="30" t="s">
        <v>344</v>
      </c>
      <c r="AQ43" s="30" t="s">
        <v>245</v>
      </c>
      <c r="AR43" s="30" t="s">
        <v>245</v>
      </c>
      <c r="AS43" s="30" t="s">
        <v>245</v>
      </c>
      <c r="AT43" s="30" t="s">
        <v>245</v>
      </c>
      <c r="AU43" s="30">
        <v>1996</v>
      </c>
      <c r="AV43" s="30">
        <v>46</v>
      </c>
      <c r="AW43" s="30">
        <v>3</v>
      </c>
      <c r="AX43" s="30" t="s">
        <v>245</v>
      </c>
      <c r="AY43" s="30" t="s">
        <v>245</v>
      </c>
      <c r="AZ43" s="30" t="s">
        <v>245</v>
      </c>
      <c r="BA43" s="30" t="s">
        <v>245</v>
      </c>
      <c r="BB43" s="30">
        <v>257</v>
      </c>
      <c r="BC43" s="30">
        <v>267</v>
      </c>
      <c r="BD43" s="30" t="s">
        <v>245</v>
      </c>
      <c r="BE43" s="30" t="s">
        <v>613</v>
      </c>
      <c r="BF43" s="30" t="str">
        <f>HYPERLINK("http://dx.doi.org/10.1007/BF00420561","http://dx.doi.org/10.1007/BF00420561")</f>
        <v>http://dx.doi.org/10.1007/BF00420561</v>
      </c>
      <c r="BG43" s="30" t="s">
        <v>245</v>
      </c>
      <c r="BH43" s="30" t="s">
        <v>245</v>
      </c>
      <c r="BI43" s="30" t="s">
        <v>245</v>
      </c>
      <c r="BJ43" s="30" t="s">
        <v>245</v>
      </c>
      <c r="BK43" s="30" t="s">
        <v>245</v>
      </c>
      <c r="BL43" s="30" t="s">
        <v>245</v>
      </c>
      <c r="BM43" s="30" t="s">
        <v>245</v>
      </c>
      <c r="BN43" s="30" t="s">
        <v>245</v>
      </c>
      <c r="BO43" s="30" t="s">
        <v>245</v>
      </c>
      <c r="BP43" s="30" t="s">
        <v>245</v>
      </c>
      <c r="BQ43" s="30" t="s">
        <v>245</v>
      </c>
      <c r="BR43" s="30" t="s">
        <v>245</v>
      </c>
      <c r="BS43" s="30" t="s">
        <v>614</v>
      </c>
      <c r="BT43" s="30" t="str">
        <f>HYPERLINK("https%3A%2F%2Fwww.webofscience.com%2Fwos%2Fwoscc%2Ffull-record%2FWOS:A1996WN69900012","View Full Record in Web of Science")</f>
        <v>View Full Record in Web of Science</v>
      </c>
    </row>
    <row r="44" spans="1:72" x14ac:dyDescent="0.2">
      <c r="A44" s="30" t="s">
        <v>243</v>
      </c>
      <c r="B44" s="30" t="s">
        <v>615</v>
      </c>
      <c r="C44" s="30" t="s">
        <v>245</v>
      </c>
      <c r="D44" s="30" t="s">
        <v>245</v>
      </c>
      <c r="E44" s="30" t="s">
        <v>245</v>
      </c>
      <c r="F44" s="30" t="s">
        <v>616</v>
      </c>
      <c r="G44" s="30" t="s">
        <v>245</v>
      </c>
      <c r="H44" s="30" t="s">
        <v>245</v>
      </c>
      <c r="I44" s="30" t="s">
        <v>617</v>
      </c>
      <c r="J44" s="30" t="s">
        <v>402</v>
      </c>
      <c r="K44" s="30" t="s">
        <v>245</v>
      </c>
      <c r="L44" s="30" t="s">
        <v>245</v>
      </c>
      <c r="M44" s="30" t="s">
        <v>245</v>
      </c>
      <c r="N44" s="30" t="s">
        <v>245</v>
      </c>
      <c r="O44" s="30" t="s">
        <v>245</v>
      </c>
      <c r="P44" s="30" t="s">
        <v>245</v>
      </c>
      <c r="Q44" s="30" t="s">
        <v>245</v>
      </c>
      <c r="R44" s="30" t="s">
        <v>245</v>
      </c>
      <c r="S44" s="30" t="s">
        <v>245</v>
      </c>
      <c r="T44" s="30" t="s">
        <v>245</v>
      </c>
      <c r="U44" s="30" t="s">
        <v>245</v>
      </c>
      <c r="V44" s="30" t="s">
        <v>245</v>
      </c>
      <c r="W44" s="30" t="s">
        <v>245</v>
      </c>
      <c r="X44" s="30" t="s">
        <v>245</v>
      </c>
      <c r="Y44" s="30" t="s">
        <v>245</v>
      </c>
      <c r="Z44" s="30" t="s">
        <v>245</v>
      </c>
      <c r="AA44" s="30" t="s">
        <v>618</v>
      </c>
      <c r="AB44" s="30" t="s">
        <v>619</v>
      </c>
      <c r="AC44" s="30" t="s">
        <v>245</v>
      </c>
      <c r="AD44" s="30" t="s">
        <v>245</v>
      </c>
      <c r="AE44" s="30" t="s">
        <v>245</v>
      </c>
      <c r="AF44" s="30" t="s">
        <v>245</v>
      </c>
      <c r="AG44" s="30" t="s">
        <v>245</v>
      </c>
      <c r="AH44" s="30" t="s">
        <v>245</v>
      </c>
      <c r="AI44" s="30" t="s">
        <v>245</v>
      </c>
      <c r="AJ44" s="30" t="s">
        <v>245</v>
      </c>
      <c r="AK44" s="30" t="s">
        <v>245</v>
      </c>
      <c r="AL44" s="30" t="s">
        <v>245</v>
      </c>
      <c r="AM44" s="30" t="s">
        <v>245</v>
      </c>
      <c r="AN44" s="30" t="s">
        <v>245</v>
      </c>
      <c r="AO44" s="30" t="s">
        <v>405</v>
      </c>
      <c r="AP44" s="30" t="s">
        <v>406</v>
      </c>
      <c r="AQ44" s="30" t="s">
        <v>245</v>
      </c>
      <c r="AR44" s="30" t="s">
        <v>245</v>
      </c>
      <c r="AS44" s="30" t="s">
        <v>245</v>
      </c>
      <c r="AT44" s="30" t="s">
        <v>265</v>
      </c>
      <c r="AU44" s="30">
        <v>2017</v>
      </c>
      <c r="AV44" s="30">
        <v>17</v>
      </c>
      <c r="AW44" s="30">
        <v>6</v>
      </c>
      <c r="AX44" s="30" t="s">
        <v>245</v>
      </c>
      <c r="AY44" s="30" t="s">
        <v>245</v>
      </c>
      <c r="AZ44" s="30" t="s">
        <v>245</v>
      </c>
      <c r="BA44" s="30" t="s">
        <v>245</v>
      </c>
      <c r="BB44" s="30">
        <v>1635</v>
      </c>
      <c r="BC44" s="30">
        <v>1643</v>
      </c>
      <c r="BD44" s="30" t="s">
        <v>245</v>
      </c>
      <c r="BE44" s="30" t="s">
        <v>620</v>
      </c>
      <c r="BF44" s="30" t="str">
        <f>HYPERLINK("http://dx.doi.org/10.1007/s11368-016-1633-9","http://dx.doi.org/10.1007/s11368-016-1633-9")</f>
        <v>http://dx.doi.org/10.1007/s11368-016-1633-9</v>
      </c>
      <c r="BG44" s="30" t="s">
        <v>245</v>
      </c>
      <c r="BH44" s="30" t="s">
        <v>245</v>
      </c>
      <c r="BI44" s="30" t="s">
        <v>245</v>
      </c>
      <c r="BJ44" s="30" t="s">
        <v>245</v>
      </c>
      <c r="BK44" s="30" t="s">
        <v>245</v>
      </c>
      <c r="BL44" s="30" t="s">
        <v>245</v>
      </c>
      <c r="BM44" s="30" t="s">
        <v>245</v>
      </c>
      <c r="BN44" s="30" t="s">
        <v>245</v>
      </c>
      <c r="BO44" s="30" t="s">
        <v>245</v>
      </c>
      <c r="BP44" s="30" t="s">
        <v>245</v>
      </c>
      <c r="BQ44" s="30" t="s">
        <v>245</v>
      </c>
      <c r="BR44" s="30" t="s">
        <v>245</v>
      </c>
      <c r="BS44" s="30" t="s">
        <v>621</v>
      </c>
      <c r="BT44" s="30" t="str">
        <f>HYPERLINK("https%3A%2F%2Fwww.webofscience.com%2Fwos%2Fwoscc%2Ffull-record%2FWOS:000401436200011","View Full Record in Web of Science")</f>
        <v>View Full Record in Web of Science</v>
      </c>
    </row>
    <row r="45" spans="1:72" x14ac:dyDescent="0.2">
      <c r="A45" s="30" t="s">
        <v>243</v>
      </c>
      <c r="B45" s="30" t="s">
        <v>622</v>
      </c>
      <c r="C45" s="30" t="s">
        <v>245</v>
      </c>
      <c r="D45" s="30" t="s">
        <v>245</v>
      </c>
      <c r="E45" s="30" t="s">
        <v>245</v>
      </c>
      <c r="F45" s="30" t="s">
        <v>623</v>
      </c>
      <c r="G45" s="30" t="s">
        <v>245</v>
      </c>
      <c r="H45" s="30" t="s">
        <v>245</v>
      </c>
      <c r="I45" s="30" t="s">
        <v>624</v>
      </c>
      <c r="J45" s="30" t="s">
        <v>282</v>
      </c>
      <c r="K45" s="30" t="s">
        <v>245</v>
      </c>
      <c r="L45" s="30" t="s">
        <v>245</v>
      </c>
      <c r="M45" s="30" t="s">
        <v>245</v>
      </c>
      <c r="N45" s="30" t="s">
        <v>245</v>
      </c>
      <c r="O45" s="30" t="s">
        <v>245</v>
      </c>
      <c r="P45" s="30" t="s">
        <v>245</v>
      </c>
      <c r="Q45" s="30" t="s">
        <v>245</v>
      </c>
      <c r="R45" s="30" t="s">
        <v>245</v>
      </c>
      <c r="S45" s="30" t="s">
        <v>245</v>
      </c>
      <c r="T45" s="30" t="s">
        <v>245</v>
      </c>
      <c r="U45" s="30" t="s">
        <v>245</v>
      </c>
      <c r="V45" s="30" t="s">
        <v>245</v>
      </c>
      <c r="W45" s="30" t="s">
        <v>245</v>
      </c>
      <c r="X45" s="30" t="s">
        <v>245</v>
      </c>
      <c r="Y45" s="30" t="s">
        <v>245</v>
      </c>
      <c r="Z45" s="30" t="s">
        <v>245</v>
      </c>
      <c r="AA45" s="30" t="s">
        <v>625</v>
      </c>
      <c r="AB45" s="30" t="s">
        <v>626</v>
      </c>
      <c r="AC45" s="30" t="s">
        <v>245</v>
      </c>
      <c r="AD45" s="30" t="s">
        <v>245</v>
      </c>
      <c r="AE45" s="30" t="s">
        <v>245</v>
      </c>
      <c r="AF45" s="30" t="s">
        <v>245</v>
      </c>
      <c r="AG45" s="30" t="s">
        <v>245</v>
      </c>
      <c r="AH45" s="30" t="s">
        <v>245</v>
      </c>
      <c r="AI45" s="30" t="s">
        <v>245</v>
      </c>
      <c r="AJ45" s="30" t="s">
        <v>245</v>
      </c>
      <c r="AK45" s="30" t="s">
        <v>245</v>
      </c>
      <c r="AL45" s="30" t="s">
        <v>245</v>
      </c>
      <c r="AM45" s="30" t="s">
        <v>245</v>
      </c>
      <c r="AN45" s="30" t="s">
        <v>245</v>
      </c>
      <c r="AO45" s="30" t="s">
        <v>285</v>
      </c>
      <c r="AP45" s="30" t="s">
        <v>370</v>
      </c>
      <c r="AQ45" s="30" t="s">
        <v>245</v>
      </c>
      <c r="AR45" s="30" t="s">
        <v>245</v>
      </c>
      <c r="AS45" s="30" t="s">
        <v>245</v>
      </c>
      <c r="AT45" s="30" t="s">
        <v>297</v>
      </c>
      <c r="AU45" s="30">
        <v>2017</v>
      </c>
      <c r="AV45" s="30">
        <v>113</v>
      </c>
      <c r="AW45" s="30" t="s">
        <v>245</v>
      </c>
      <c r="AX45" s="30" t="s">
        <v>245</v>
      </c>
      <c r="AY45" s="30" t="s">
        <v>245</v>
      </c>
      <c r="AZ45" s="30" t="s">
        <v>245</v>
      </c>
      <c r="BA45" s="30" t="s">
        <v>245</v>
      </c>
      <c r="BB45" s="30">
        <v>153</v>
      </c>
      <c r="BC45" s="30">
        <v>160</v>
      </c>
      <c r="BD45" s="30" t="s">
        <v>245</v>
      </c>
      <c r="BE45" s="30" t="s">
        <v>627</v>
      </c>
      <c r="BF45" s="30" t="str">
        <f>HYPERLINK("http://dx.doi.org/10.1016/j.soilbio.2017.06.007","http://dx.doi.org/10.1016/j.soilbio.2017.06.007")</f>
        <v>http://dx.doi.org/10.1016/j.soilbio.2017.06.007</v>
      </c>
      <c r="BG45" s="30" t="s">
        <v>245</v>
      </c>
      <c r="BH45" s="30" t="s">
        <v>245</v>
      </c>
      <c r="BI45" s="30" t="s">
        <v>245</v>
      </c>
      <c r="BJ45" s="30" t="s">
        <v>245</v>
      </c>
      <c r="BK45" s="30" t="s">
        <v>245</v>
      </c>
      <c r="BL45" s="30" t="s">
        <v>245</v>
      </c>
      <c r="BM45" s="30" t="s">
        <v>245</v>
      </c>
      <c r="BN45" s="30" t="s">
        <v>245</v>
      </c>
      <c r="BO45" s="30" t="s">
        <v>245</v>
      </c>
      <c r="BP45" s="30" t="s">
        <v>245</v>
      </c>
      <c r="BQ45" s="30" t="s">
        <v>245</v>
      </c>
      <c r="BR45" s="30" t="s">
        <v>245</v>
      </c>
      <c r="BS45" s="30" t="s">
        <v>628</v>
      </c>
      <c r="BT45" s="30" t="str">
        <f>HYPERLINK("https%3A%2F%2Fwww.webofscience.com%2Fwos%2Fwoscc%2Ffull-record%2FWOS:000407536200017","View Full Record in Web of Science")</f>
        <v>View Full Record in Web of Science</v>
      </c>
    </row>
    <row r="46" spans="1:72" x14ac:dyDescent="0.2">
      <c r="A46" s="30" t="s">
        <v>243</v>
      </c>
      <c r="B46" s="30" t="s">
        <v>629</v>
      </c>
      <c r="C46" s="30" t="s">
        <v>245</v>
      </c>
      <c r="D46" s="30" t="s">
        <v>245</v>
      </c>
      <c r="E46" s="30" t="s">
        <v>245</v>
      </c>
      <c r="F46" s="30" t="s">
        <v>630</v>
      </c>
      <c r="G46" s="30" t="s">
        <v>245</v>
      </c>
      <c r="H46" s="30" t="s">
        <v>245</v>
      </c>
      <c r="I46" s="30" t="s">
        <v>631</v>
      </c>
      <c r="J46" s="30" t="s">
        <v>632</v>
      </c>
      <c r="K46" s="30" t="s">
        <v>245</v>
      </c>
      <c r="L46" s="30" t="s">
        <v>245</v>
      </c>
      <c r="M46" s="30" t="s">
        <v>245</v>
      </c>
      <c r="N46" s="30" t="s">
        <v>245</v>
      </c>
      <c r="O46" s="30" t="s">
        <v>245</v>
      </c>
      <c r="P46" s="30" t="s">
        <v>245</v>
      </c>
      <c r="Q46" s="30" t="s">
        <v>245</v>
      </c>
      <c r="R46" s="30" t="s">
        <v>245</v>
      </c>
      <c r="S46" s="30" t="s">
        <v>245</v>
      </c>
      <c r="T46" s="30" t="s">
        <v>245</v>
      </c>
      <c r="U46" s="30" t="s">
        <v>245</v>
      </c>
      <c r="V46" s="30" t="s">
        <v>245</v>
      </c>
      <c r="W46" s="30" t="s">
        <v>245</v>
      </c>
      <c r="X46" s="30" t="s">
        <v>245</v>
      </c>
      <c r="Y46" s="30" t="s">
        <v>245</v>
      </c>
      <c r="Z46" s="30" t="s">
        <v>245</v>
      </c>
      <c r="AA46" s="30" t="s">
        <v>245</v>
      </c>
      <c r="AB46" s="30" t="s">
        <v>245</v>
      </c>
      <c r="AC46" s="30" t="s">
        <v>245</v>
      </c>
      <c r="AD46" s="30" t="s">
        <v>245</v>
      </c>
      <c r="AE46" s="30" t="s">
        <v>245</v>
      </c>
      <c r="AF46" s="30" t="s">
        <v>245</v>
      </c>
      <c r="AG46" s="30" t="s">
        <v>245</v>
      </c>
      <c r="AH46" s="30" t="s">
        <v>245</v>
      </c>
      <c r="AI46" s="30" t="s">
        <v>245</v>
      </c>
      <c r="AJ46" s="30" t="s">
        <v>245</v>
      </c>
      <c r="AK46" s="30" t="s">
        <v>245</v>
      </c>
      <c r="AL46" s="30" t="s">
        <v>245</v>
      </c>
      <c r="AM46" s="30" t="s">
        <v>245</v>
      </c>
      <c r="AN46" s="30" t="s">
        <v>245</v>
      </c>
      <c r="AO46" s="30" t="s">
        <v>633</v>
      </c>
      <c r="AP46" s="30" t="s">
        <v>634</v>
      </c>
      <c r="AQ46" s="30" t="s">
        <v>245</v>
      </c>
      <c r="AR46" s="30" t="s">
        <v>245</v>
      </c>
      <c r="AS46" s="30" t="s">
        <v>245</v>
      </c>
      <c r="AT46" s="30" t="s">
        <v>635</v>
      </c>
      <c r="AU46" s="30">
        <v>2017</v>
      </c>
      <c r="AV46" s="30">
        <v>201</v>
      </c>
      <c r="AW46" s="30" t="s">
        <v>245</v>
      </c>
      <c r="AX46" s="30" t="s">
        <v>245</v>
      </c>
      <c r="AY46" s="30" t="s">
        <v>245</v>
      </c>
      <c r="AZ46" s="30" t="s">
        <v>245</v>
      </c>
      <c r="BA46" s="30" t="s">
        <v>245</v>
      </c>
      <c r="BB46" s="30">
        <v>309</v>
      </c>
      <c r="BC46" s="30">
        <v>314</v>
      </c>
      <c r="BD46" s="30" t="s">
        <v>245</v>
      </c>
      <c r="BE46" s="30" t="s">
        <v>636</v>
      </c>
      <c r="BF46" s="30" t="str">
        <f>HYPERLINK("http://dx.doi.org/10.1016/j.jenvman.2017.06.064","http://dx.doi.org/10.1016/j.jenvman.2017.06.064")</f>
        <v>http://dx.doi.org/10.1016/j.jenvman.2017.06.064</v>
      </c>
      <c r="BG46" s="30" t="s">
        <v>245</v>
      </c>
      <c r="BH46" s="30" t="s">
        <v>245</v>
      </c>
      <c r="BI46" s="30" t="s">
        <v>245</v>
      </c>
      <c r="BJ46" s="30" t="s">
        <v>245</v>
      </c>
      <c r="BK46" s="30" t="s">
        <v>245</v>
      </c>
      <c r="BL46" s="30" t="s">
        <v>245</v>
      </c>
      <c r="BM46" s="30" t="s">
        <v>245</v>
      </c>
      <c r="BN46" s="30">
        <v>28686922</v>
      </c>
      <c r="BO46" s="30" t="s">
        <v>245</v>
      </c>
      <c r="BP46" s="30" t="s">
        <v>245</v>
      </c>
      <c r="BQ46" s="30" t="s">
        <v>245</v>
      </c>
      <c r="BR46" s="30" t="s">
        <v>245</v>
      </c>
      <c r="BS46" s="30" t="s">
        <v>637</v>
      </c>
      <c r="BT46" s="30" t="str">
        <f>HYPERLINK("https%3A%2F%2Fwww.webofscience.com%2Fwos%2Fwoscc%2Ffull-record%2FWOS:000407662000034","View Full Record in Web of Science")</f>
        <v>View Full Record in Web of Science</v>
      </c>
    </row>
    <row r="47" spans="1:72" x14ac:dyDescent="0.2">
      <c r="A47" s="30" t="s">
        <v>243</v>
      </c>
      <c r="B47" s="30" t="s">
        <v>638</v>
      </c>
      <c r="C47" s="30" t="s">
        <v>245</v>
      </c>
      <c r="D47" s="30" t="s">
        <v>245</v>
      </c>
      <c r="E47" s="30" t="s">
        <v>245</v>
      </c>
      <c r="F47" s="30" t="s">
        <v>639</v>
      </c>
      <c r="G47" s="30" t="s">
        <v>245</v>
      </c>
      <c r="H47" s="30" t="s">
        <v>245</v>
      </c>
      <c r="I47" s="30" t="s">
        <v>640</v>
      </c>
      <c r="J47" s="30" t="s">
        <v>641</v>
      </c>
      <c r="K47" s="30" t="s">
        <v>245</v>
      </c>
      <c r="L47" s="30" t="s">
        <v>245</v>
      </c>
      <c r="M47" s="30" t="s">
        <v>245</v>
      </c>
      <c r="N47" s="30" t="s">
        <v>245</v>
      </c>
      <c r="O47" s="30" t="s">
        <v>245</v>
      </c>
      <c r="P47" s="30" t="s">
        <v>245</v>
      </c>
      <c r="Q47" s="30" t="s">
        <v>245</v>
      </c>
      <c r="R47" s="30" t="s">
        <v>245</v>
      </c>
      <c r="S47" s="30" t="s">
        <v>245</v>
      </c>
      <c r="T47" s="30" t="s">
        <v>245</v>
      </c>
      <c r="U47" s="30" t="s">
        <v>245</v>
      </c>
      <c r="V47" s="30" t="s">
        <v>245</v>
      </c>
      <c r="W47" s="30" t="s">
        <v>245</v>
      </c>
      <c r="X47" s="30" t="s">
        <v>245</v>
      </c>
      <c r="Y47" s="30" t="s">
        <v>245</v>
      </c>
      <c r="Z47" s="30" t="s">
        <v>245</v>
      </c>
      <c r="AA47" s="30" t="s">
        <v>642</v>
      </c>
      <c r="AB47" s="30" t="s">
        <v>643</v>
      </c>
      <c r="AC47" s="30" t="s">
        <v>245</v>
      </c>
      <c r="AD47" s="30" t="s">
        <v>245</v>
      </c>
      <c r="AE47" s="30" t="s">
        <v>245</v>
      </c>
      <c r="AF47" s="30" t="s">
        <v>245</v>
      </c>
      <c r="AG47" s="30" t="s">
        <v>245</v>
      </c>
      <c r="AH47" s="30" t="s">
        <v>245</v>
      </c>
      <c r="AI47" s="30" t="s">
        <v>245</v>
      </c>
      <c r="AJ47" s="30" t="s">
        <v>245</v>
      </c>
      <c r="AK47" s="30" t="s">
        <v>245</v>
      </c>
      <c r="AL47" s="30" t="s">
        <v>245</v>
      </c>
      <c r="AM47" s="30" t="s">
        <v>245</v>
      </c>
      <c r="AN47" s="30" t="s">
        <v>245</v>
      </c>
      <c r="AO47" s="30" t="s">
        <v>644</v>
      </c>
      <c r="AP47" s="30" t="s">
        <v>645</v>
      </c>
      <c r="AQ47" s="30" t="s">
        <v>245</v>
      </c>
      <c r="AR47" s="30" t="s">
        <v>245</v>
      </c>
      <c r="AS47" s="30" t="s">
        <v>245</v>
      </c>
      <c r="AT47" s="30" t="s">
        <v>646</v>
      </c>
      <c r="AU47" s="30">
        <v>2012</v>
      </c>
      <c r="AV47" s="30">
        <v>41</v>
      </c>
      <c r="AW47" s="30">
        <v>4</v>
      </c>
      <c r="AX47" s="30" t="s">
        <v>245</v>
      </c>
      <c r="AY47" s="30" t="s">
        <v>245</v>
      </c>
      <c r="AZ47" s="30" t="s">
        <v>245</v>
      </c>
      <c r="BA47" s="30" t="s">
        <v>245</v>
      </c>
      <c r="BB47" s="30">
        <v>1203</v>
      </c>
      <c r="BC47" s="30">
        <v>1209</v>
      </c>
      <c r="BD47" s="30" t="s">
        <v>245</v>
      </c>
      <c r="BE47" s="30" t="s">
        <v>647</v>
      </c>
      <c r="BF47" s="30" t="str">
        <f>HYPERLINK("http://dx.doi.org/10.2134/jeq2011.0119","http://dx.doi.org/10.2134/jeq2011.0119")</f>
        <v>http://dx.doi.org/10.2134/jeq2011.0119</v>
      </c>
      <c r="BG47" s="30" t="s">
        <v>245</v>
      </c>
      <c r="BH47" s="30" t="s">
        <v>245</v>
      </c>
      <c r="BI47" s="30" t="s">
        <v>245</v>
      </c>
      <c r="BJ47" s="30" t="s">
        <v>245</v>
      </c>
      <c r="BK47" s="30" t="s">
        <v>245</v>
      </c>
      <c r="BL47" s="30" t="s">
        <v>245</v>
      </c>
      <c r="BM47" s="30" t="s">
        <v>245</v>
      </c>
      <c r="BN47" s="30">
        <v>22751063</v>
      </c>
      <c r="BO47" s="30" t="s">
        <v>245</v>
      </c>
      <c r="BP47" s="30" t="s">
        <v>245</v>
      </c>
      <c r="BQ47" s="30" t="s">
        <v>245</v>
      </c>
      <c r="BR47" s="30" t="s">
        <v>245</v>
      </c>
      <c r="BS47" s="30" t="s">
        <v>648</v>
      </c>
      <c r="BT47" s="30" t="str">
        <f>HYPERLINK("https%3A%2F%2Fwww.webofscience.com%2Fwos%2Fwoscc%2Ffull-record%2FWOS:000305966900025","View Full Record in Web of Science")</f>
        <v>View Full Record in Web of Science</v>
      </c>
    </row>
    <row r="48" spans="1:72" x14ac:dyDescent="0.2">
      <c r="A48" s="30" t="s">
        <v>243</v>
      </c>
      <c r="B48" s="30" t="s">
        <v>649</v>
      </c>
      <c r="C48" s="30" t="s">
        <v>245</v>
      </c>
      <c r="D48" s="30" t="s">
        <v>245</v>
      </c>
      <c r="E48" s="30" t="s">
        <v>245</v>
      </c>
      <c r="F48" s="30" t="s">
        <v>650</v>
      </c>
      <c r="G48" s="30" t="s">
        <v>245</v>
      </c>
      <c r="H48" s="30" t="s">
        <v>245</v>
      </c>
      <c r="I48" s="30" t="s">
        <v>651</v>
      </c>
      <c r="J48" s="30" t="s">
        <v>652</v>
      </c>
      <c r="K48" s="30" t="s">
        <v>245</v>
      </c>
      <c r="L48" s="30" t="s">
        <v>245</v>
      </c>
      <c r="M48" s="30" t="s">
        <v>245</v>
      </c>
      <c r="N48" s="30" t="s">
        <v>245</v>
      </c>
      <c r="O48" s="30" t="s">
        <v>245</v>
      </c>
      <c r="P48" s="30" t="s">
        <v>245</v>
      </c>
      <c r="Q48" s="30" t="s">
        <v>245</v>
      </c>
      <c r="R48" s="30" t="s">
        <v>245</v>
      </c>
      <c r="S48" s="30" t="s">
        <v>245</v>
      </c>
      <c r="T48" s="30" t="s">
        <v>245</v>
      </c>
      <c r="U48" s="30" t="s">
        <v>245</v>
      </c>
      <c r="V48" s="30" t="s">
        <v>245</v>
      </c>
      <c r="W48" s="30" t="s">
        <v>245</v>
      </c>
      <c r="X48" s="30" t="s">
        <v>245</v>
      </c>
      <c r="Y48" s="30" t="s">
        <v>245</v>
      </c>
      <c r="Z48" s="30" t="s">
        <v>245</v>
      </c>
      <c r="AA48" s="30" t="s">
        <v>653</v>
      </c>
      <c r="AB48" s="30" t="s">
        <v>654</v>
      </c>
      <c r="AC48" s="30" t="s">
        <v>245</v>
      </c>
      <c r="AD48" s="30" t="s">
        <v>245</v>
      </c>
      <c r="AE48" s="30" t="s">
        <v>245</v>
      </c>
      <c r="AF48" s="30" t="s">
        <v>245</v>
      </c>
      <c r="AG48" s="30" t="s">
        <v>245</v>
      </c>
      <c r="AH48" s="30" t="s">
        <v>245</v>
      </c>
      <c r="AI48" s="30" t="s">
        <v>245</v>
      </c>
      <c r="AJ48" s="30" t="s">
        <v>245</v>
      </c>
      <c r="AK48" s="30" t="s">
        <v>245</v>
      </c>
      <c r="AL48" s="30" t="s">
        <v>245</v>
      </c>
      <c r="AM48" s="30" t="s">
        <v>245</v>
      </c>
      <c r="AN48" s="30" t="s">
        <v>245</v>
      </c>
      <c r="AO48" s="30" t="s">
        <v>245</v>
      </c>
      <c r="AP48" s="30" t="s">
        <v>655</v>
      </c>
      <c r="AQ48" s="30" t="s">
        <v>245</v>
      </c>
      <c r="AR48" s="30" t="s">
        <v>245</v>
      </c>
      <c r="AS48" s="30" t="s">
        <v>245</v>
      </c>
      <c r="AT48" s="30" t="s">
        <v>481</v>
      </c>
      <c r="AU48" s="30">
        <v>2020</v>
      </c>
      <c r="AV48" s="30">
        <v>10</v>
      </c>
      <c r="AW48" s="30">
        <v>12</v>
      </c>
      <c r="AX48" s="30" t="s">
        <v>245</v>
      </c>
      <c r="AY48" s="30" t="s">
        <v>245</v>
      </c>
      <c r="AZ48" s="30" t="s">
        <v>245</v>
      </c>
      <c r="BA48" s="30" t="s">
        <v>245</v>
      </c>
      <c r="BB48" s="30" t="s">
        <v>245</v>
      </c>
      <c r="BC48" s="30" t="s">
        <v>245</v>
      </c>
      <c r="BD48" s="30">
        <v>623</v>
      </c>
      <c r="BE48" s="30" t="s">
        <v>656</v>
      </c>
      <c r="BF48" s="30" t="str">
        <f>HYPERLINK("http://dx.doi.org/10.3390/agriculture10120623","http://dx.doi.org/10.3390/agriculture10120623")</f>
        <v>http://dx.doi.org/10.3390/agriculture10120623</v>
      </c>
      <c r="BG48" s="30" t="s">
        <v>245</v>
      </c>
      <c r="BH48" s="30" t="s">
        <v>245</v>
      </c>
      <c r="BI48" s="30" t="s">
        <v>245</v>
      </c>
      <c r="BJ48" s="30" t="s">
        <v>245</v>
      </c>
      <c r="BK48" s="30" t="s">
        <v>245</v>
      </c>
      <c r="BL48" s="30" t="s">
        <v>245</v>
      </c>
      <c r="BM48" s="30" t="s">
        <v>245</v>
      </c>
      <c r="BN48" s="30" t="s">
        <v>245</v>
      </c>
      <c r="BO48" s="30" t="s">
        <v>245</v>
      </c>
      <c r="BP48" s="30" t="s">
        <v>245</v>
      </c>
      <c r="BQ48" s="30" t="s">
        <v>245</v>
      </c>
      <c r="BR48" s="30" t="s">
        <v>245</v>
      </c>
      <c r="BS48" s="30" t="s">
        <v>657</v>
      </c>
      <c r="BT48" s="30" t="str">
        <f>HYPERLINK("https%3A%2F%2Fwww.webofscience.com%2Fwos%2Fwoscc%2Ffull-record%2FWOS:000601797800001","View Full Record in Web of Science")</f>
        <v>View Full Record in Web of Science</v>
      </c>
    </row>
    <row r="49" spans="1:72" x14ac:dyDescent="0.2">
      <c r="A49" s="30" t="s">
        <v>243</v>
      </c>
      <c r="B49" s="30" t="s">
        <v>658</v>
      </c>
      <c r="C49" s="30" t="s">
        <v>245</v>
      </c>
      <c r="D49" s="30" t="s">
        <v>245</v>
      </c>
      <c r="E49" s="30" t="s">
        <v>245</v>
      </c>
      <c r="F49" s="30" t="s">
        <v>659</v>
      </c>
      <c r="G49" s="30" t="s">
        <v>245</v>
      </c>
      <c r="H49" s="30" t="s">
        <v>245</v>
      </c>
      <c r="I49" s="30" t="s">
        <v>129</v>
      </c>
      <c r="J49" s="30" t="s">
        <v>376</v>
      </c>
      <c r="K49" s="30" t="s">
        <v>245</v>
      </c>
      <c r="L49" s="30" t="s">
        <v>245</v>
      </c>
      <c r="M49" s="30" t="s">
        <v>245</v>
      </c>
      <c r="N49" s="30" t="s">
        <v>245</v>
      </c>
      <c r="O49" s="30" t="s">
        <v>245</v>
      </c>
      <c r="P49" s="30" t="s">
        <v>245</v>
      </c>
      <c r="Q49" s="30" t="s">
        <v>245</v>
      </c>
      <c r="R49" s="30" t="s">
        <v>245</v>
      </c>
      <c r="S49" s="30" t="s">
        <v>245</v>
      </c>
      <c r="T49" s="30" t="s">
        <v>245</v>
      </c>
      <c r="U49" s="30" t="s">
        <v>245</v>
      </c>
      <c r="V49" s="30" t="s">
        <v>245</v>
      </c>
      <c r="W49" s="30" t="s">
        <v>245</v>
      </c>
      <c r="X49" s="30" t="s">
        <v>245</v>
      </c>
      <c r="Y49" s="30" t="s">
        <v>245</v>
      </c>
      <c r="Z49" s="30" t="s">
        <v>245</v>
      </c>
      <c r="AA49" s="30" t="s">
        <v>660</v>
      </c>
      <c r="AB49" s="30" t="s">
        <v>661</v>
      </c>
      <c r="AC49" s="30" t="s">
        <v>245</v>
      </c>
      <c r="AD49" s="30" t="s">
        <v>245</v>
      </c>
      <c r="AE49" s="30" t="s">
        <v>245</v>
      </c>
      <c r="AF49" s="30" t="s">
        <v>245</v>
      </c>
      <c r="AG49" s="30" t="s">
        <v>245</v>
      </c>
      <c r="AH49" s="30" t="s">
        <v>245</v>
      </c>
      <c r="AI49" s="30" t="s">
        <v>245</v>
      </c>
      <c r="AJ49" s="30" t="s">
        <v>245</v>
      </c>
      <c r="AK49" s="30" t="s">
        <v>245</v>
      </c>
      <c r="AL49" s="30" t="s">
        <v>245</v>
      </c>
      <c r="AM49" s="30" t="s">
        <v>245</v>
      </c>
      <c r="AN49" s="30" t="s">
        <v>245</v>
      </c>
      <c r="AO49" s="30" t="s">
        <v>382</v>
      </c>
      <c r="AP49" s="30" t="s">
        <v>383</v>
      </c>
      <c r="AQ49" s="30" t="s">
        <v>245</v>
      </c>
      <c r="AR49" s="30" t="s">
        <v>245</v>
      </c>
      <c r="AS49" s="30" t="s">
        <v>245</v>
      </c>
      <c r="AT49" s="30" t="s">
        <v>662</v>
      </c>
      <c r="AU49" s="30">
        <v>2017</v>
      </c>
      <c r="AV49" s="30">
        <v>233</v>
      </c>
      <c r="AW49" s="30" t="s">
        <v>245</v>
      </c>
      <c r="AX49" s="30" t="s">
        <v>245</v>
      </c>
      <c r="AY49" s="30" t="s">
        <v>245</v>
      </c>
      <c r="AZ49" s="30" t="s">
        <v>245</v>
      </c>
      <c r="BA49" s="30" t="s">
        <v>245</v>
      </c>
      <c r="BB49" s="30">
        <v>163</v>
      </c>
      <c r="BC49" s="30">
        <v>170</v>
      </c>
      <c r="BD49" s="30" t="s">
        <v>245</v>
      </c>
      <c r="BE49" s="30" t="s">
        <v>663</v>
      </c>
      <c r="BF49" s="30" t="str">
        <f>HYPERLINK("http://dx.doi.org/10.1016/j.agrformet.2016.11.017","http://dx.doi.org/10.1016/j.agrformet.2016.11.017")</f>
        <v>http://dx.doi.org/10.1016/j.agrformet.2016.11.017</v>
      </c>
      <c r="BG49" s="30" t="s">
        <v>245</v>
      </c>
      <c r="BH49" s="30" t="s">
        <v>245</v>
      </c>
      <c r="BI49" s="30" t="s">
        <v>245</v>
      </c>
      <c r="BJ49" s="30" t="s">
        <v>245</v>
      </c>
      <c r="BK49" s="30" t="s">
        <v>245</v>
      </c>
      <c r="BL49" s="30" t="s">
        <v>245</v>
      </c>
      <c r="BM49" s="30" t="s">
        <v>245</v>
      </c>
      <c r="BN49" s="30" t="s">
        <v>245</v>
      </c>
      <c r="BO49" s="30" t="s">
        <v>245</v>
      </c>
      <c r="BP49" s="30" t="s">
        <v>245</v>
      </c>
      <c r="BQ49" s="30" t="s">
        <v>245</v>
      </c>
      <c r="BR49" s="30" t="s">
        <v>245</v>
      </c>
      <c r="BS49" s="30" t="s">
        <v>664</v>
      </c>
      <c r="BT49" s="30" t="str">
        <f>HYPERLINK("https%3A%2F%2Fwww.webofscience.com%2Fwos%2Fwoscc%2Ffull-record%2FWOS:000393259400015","View Full Record in Web of Science")</f>
        <v>View Full Record in Web of Science</v>
      </c>
    </row>
    <row r="50" spans="1:72" x14ac:dyDescent="0.2">
      <c r="A50" s="30" t="s">
        <v>243</v>
      </c>
      <c r="B50" s="30" t="s">
        <v>665</v>
      </c>
      <c r="C50" s="30" t="s">
        <v>245</v>
      </c>
      <c r="D50" s="30" t="s">
        <v>245</v>
      </c>
      <c r="E50" s="30" t="s">
        <v>245</v>
      </c>
      <c r="F50" s="30" t="s">
        <v>666</v>
      </c>
      <c r="G50" s="30" t="s">
        <v>245</v>
      </c>
      <c r="H50" s="30" t="s">
        <v>245</v>
      </c>
      <c r="I50" s="30" t="s">
        <v>667</v>
      </c>
      <c r="J50" s="30" t="s">
        <v>668</v>
      </c>
      <c r="K50" s="30" t="s">
        <v>245</v>
      </c>
      <c r="L50" s="30" t="s">
        <v>245</v>
      </c>
      <c r="M50" s="30" t="s">
        <v>245</v>
      </c>
      <c r="N50" s="30" t="s">
        <v>245</v>
      </c>
      <c r="O50" s="30" t="s">
        <v>245</v>
      </c>
      <c r="P50" s="30" t="s">
        <v>245</v>
      </c>
      <c r="Q50" s="30" t="s">
        <v>245</v>
      </c>
      <c r="R50" s="30" t="s">
        <v>245</v>
      </c>
      <c r="S50" s="30" t="s">
        <v>245</v>
      </c>
      <c r="T50" s="30" t="s">
        <v>245</v>
      </c>
      <c r="U50" s="30" t="s">
        <v>245</v>
      </c>
      <c r="V50" s="30" t="s">
        <v>245</v>
      </c>
      <c r="W50" s="30" t="s">
        <v>245</v>
      </c>
      <c r="X50" s="30" t="s">
        <v>245</v>
      </c>
      <c r="Y50" s="30" t="s">
        <v>245</v>
      </c>
      <c r="Z50" s="30" t="s">
        <v>245</v>
      </c>
      <c r="AA50" s="30" t="s">
        <v>669</v>
      </c>
      <c r="AB50" s="30" t="s">
        <v>670</v>
      </c>
      <c r="AC50" s="30" t="s">
        <v>245</v>
      </c>
      <c r="AD50" s="30" t="s">
        <v>245</v>
      </c>
      <c r="AE50" s="30" t="s">
        <v>245</v>
      </c>
      <c r="AF50" s="30" t="s">
        <v>245</v>
      </c>
      <c r="AG50" s="30" t="s">
        <v>245</v>
      </c>
      <c r="AH50" s="30" t="s">
        <v>245</v>
      </c>
      <c r="AI50" s="30" t="s">
        <v>245</v>
      </c>
      <c r="AJ50" s="30" t="s">
        <v>245</v>
      </c>
      <c r="AK50" s="30" t="s">
        <v>245</v>
      </c>
      <c r="AL50" s="30" t="s">
        <v>245</v>
      </c>
      <c r="AM50" s="30" t="s">
        <v>245</v>
      </c>
      <c r="AN50" s="30" t="s">
        <v>245</v>
      </c>
      <c r="AO50" s="30" t="s">
        <v>671</v>
      </c>
      <c r="AP50" s="30" t="s">
        <v>672</v>
      </c>
      <c r="AQ50" s="30" t="s">
        <v>245</v>
      </c>
      <c r="AR50" s="30" t="s">
        <v>245</v>
      </c>
      <c r="AS50" s="30" t="s">
        <v>245</v>
      </c>
      <c r="AT50" s="30" t="s">
        <v>454</v>
      </c>
      <c r="AU50" s="30">
        <v>2010</v>
      </c>
      <c r="AV50" s="30">
        <v>8</v>
      </c>
      <c r="AW50" s="30">
        <v>3</v>
      </c>
      <c r="AX50" s="30" t="s">
        <v>245</v>
      </c>
      <c r="AY50" s="30" t="s">
        <v>245</v>
      </c>
      <c r="AZ50" s="30" t="s">
        <v>245</v>
      </c>
      <c r="BA50" s="30" t="s">
        <v>245</v>
      </c>
      <c r="BB50" s="30">
        <v>237</v>
      </c>
      <c r="BC50" s="30">
        <v>246</v>
      </c>
      <c r="BD50" s="30" t="s">
        <v>245</v>
      </c>
      <c r="BE50" s="30" t="s">
        <v>673</v>
      </c>
      <c r="BF50" s="30" t="str">
        <f>HYPERLINK("http://dx.doi.org/10.1007/s10311-009-0212-3","http://dx.doi.org/10.1007/s10311-009-0212-3")</f>
        <v>http://dx.doi.org/10.1007/s10311-009-0212-3</v>
      </c>
      <c r="BG50" s="30" t="s">
        <v>245</v>
      </c>
      <c r="BH50" s="30" t="s">
        <v>245</v>
      </c>
      <c r="BI50" s="30" t="s">
        <v>245</v>
      </c>
      <c r="BJ50" s="30" t="s">
        <v>245</v>
      </c>
      <c r="BK50" s="30" t="s">
        <v>245</v>
      </c>
      <c r="BL50" s="30" t="s">
        <v>245</v>
      </c>
      <c r="BM50" s="30" t="s">
        <v>245</v>
      </c>
      <c r="BN50" s="30" t="s">
        <v>245</v>
      </c>
      <c r="BO50" s="30" t="s">
        <v>245</v>
      </c>
      <c r="BP50" s="30" t="s">
        <v>245</v>
      </c>
      <c r="BQ50" s="30" t="s">
        <v>245</v>
      </c>
      <c r="BR50" s="30" t="s">
        <v>245</v>
      </c>
      <c r="BS50" s="30" t="s">
        <v>674</v>
      </c>
      <c r="BT50" s="30" t="str">
        <f>HYPERLINK("https%3A%2F%2Fwww.webofscience.com%2Fwos%2Fwoscc%2Ffull-record%2FWOS:000281597500005","View Full Record in Web of Science")</f>
        <v>View Full Record in Web of Science</v>
      </c>
    </row>
    <row r="51" spans="1:72" x14ac:dyDescent="0.2">
      <c r="A51" s="30" t="s">
        <v>243</v>
      </c>
      <c r="B51" s="30" t="s">
        <v>675</v>
      </c>
      <c r="C51" s="30" t="s">
        <v>245</v>
      </c>
      <c r="D51" s="30" t="s">
        <v>245</v>
      </c>
      <c r="E51" s="30" t="s">
        <v>245</v>
      </c>
      <c r="F51" s="30" t="s">
        <v>676</v>
      </c>
      <c r="G51" s="30" t="s">
        <v>245</v>
      </c>
      <c r="H51" s="30" t="s">
        <v>245</v>
      </c>
      <c r="I51" s="30" t="s">
        <v>677</v>
      </c>
      <c r="J51" s="30" t="s">
        <v>678</v>
      </c>
      <c r="K51" s="30" t="s">
        <v>245</v>
      </c>
      <c r="L51" s="30" t="s">
        <v>245</v>
      </c>
      <c r="M51" s="30" t="s">
        <v>245</v>
      </c>
      <c r="N51" s="30" t="s">
        <v>245</v>
      </c>
      <c r="O51" s="30" t="s">
        <v>679</v>
      </c>
      <c r="P51" s="30" t="s">
        <v>680</v>
      </c>
      <c r="Q51" s="30" t="s">
        <v>681</v>
      </c>
      <c r="R51" s="30" t="s">
        <v>245</v>
      </c>
      <c r="S51" s="30" t="s">
        <v>245</v>
      </c>
      <c r="T51" s="30" t="s">
        <v>245</v>
      </c>
      <c r="U51" s="30" t="s">
        <v>245</v>
      </c>
      <c r="V51" s="30" t="s">
        <v>245</v>
      </c>
      <c r="W51" s="30" t="s">
        <v>245</v>
      </c>
      <c r="X51" s="30" t="s">
        <v>245</v>
      </c>
      <c r="Y51" s="30" t="s">
        <v>245</v>
      </c>
      <c r="Z51" s="30" t="s">
        <v>245</v>
      </c>
      <c r="AA51" s="30" t="s">
        <v>682</v>
      </c>
      <c r="AB51" s="30" t="s">
        <v>683</v>
      </c>
      <c r="AC51" s="30" t="s">
        <v>245</v>
      </c>
      <c r="AD51" s="30" t="s">
        <v>245</v>
      </c>
      <c r="AE51" s="30" t="s">
        <v>245</v>
      </c>
      <c r="AF51" s="30" t="s">
        <v>245</v>
      </c>
      <c r="AG51" s="30" t="s">
        <v>245</v>
      </c>
      <c r="AH51" s="30" t="s">
        <v>245</v>
      </c>
      <c r="AI51" s="30" t="s">
        <v>245</v>
      </c>
      <c r="AJ51" s="30" t="s">
        <v>245</v>
      </c>
      <c r="AK51" s="30" t="s">
        <v>245</v>
      </c>
      <c r="AL51" s="30" t="s">
        <v>245</v>
      </c>
      <c r="AM51" s="30" t="s">
        <v>245</v>
      </c>
      <c r="AN51" s="30" t="s">
        <v>245</v>
      </c>
      <c r="AO51" s="30" t="s">
        <v>684</v>
      </c>
      <c r="AP51" s="30" t="s">
        <v>685</v>
      </c>
      <c r="AQ51" s="30" t="s">
        <v>245</v>
      </c>
      <c r="AR51" s="30" t="s">
        <v>245</v>
      </c>
      <c r="AS51" s="30" t="s">
        <v>245</v>
      </c>
      <c r="AT51" s="30" t="s">
        <v>535</v>
      </c>
      <c r="AU51" s="30">
        <v>2009</v>
      </c>
      <c r="AV51" s="30">
        <v>23</v>
      </c>
      <c r="AW51" s="30">
        <v>16</v>
      </c>
      <c r="AX51" s="30" t="s">
        <v>245</v>
      </c>
      <c r="AY51" s="30" t="s">
        <v>245</v>
      </c>
      <c r="AZ51" s="30" t="s">
        <v>245</v>
      </c>
      <c r="BA51" s="30" t="s">
        <v>245</v>
      </c>
      <c r="BB51" s="30">
        <v>2489</v>
      </c>
      <c r="BC51" s="30">
        <v>2498</v>
      </c>
      <c r="BD51" s="30" t="s">
        <v>245</v>
      </c>
      <c r="BE51" s="30" t="s">
        <v>686</v>
      </c>
      <c r="BF51" s="30" t="str">
        <f>HYPERLINK("http://dx.doi.org/10.1002/rcm.4067","http://dx.doi.org/10.1002/rcm.4067")</f>
        <v>http://dx.doi.org/10.1002/rcm.4067</v>
      </c>
      <c r="BG51" s="30" t="s">
        <v>245</v>
      </c>
      <c r="BH51" s="30" t="s">
        <v>245</v>
      </c>
      <c r="BI51" s="30" t="s">
        <v>245</v>
      </c>
      <c r="BJ51" s="30" t="s">
        <v>245</v>
      </c>
      <c r="BK51" s="30" t="s">
        <v>245</v>
      </c>
      <c r="BL51" s="30" t="s">
        <v>245</v>
      </c>
      <c r="BM51" s="30" t="s">
        <v>245</v>
      </c>
      <c r="BN51" s="30">
        <v>19603466</v>
      </c>
      <c r="BO51" s="30" t="s">
        <v>245</v>
      </c>
      <c r="BP51" s="30" t="s">
        <v>245</v>
      </c>
      <c r="BQ51" s="30" t="s">
        <v>245</v>
      </c>
      <c r="BR51" s="30" t="s">
        <v>245</v>
      </c>
      <c r="BS51" s="30" t="s">
        <v>687</v>
      </c>
      <c r="BT51" s="30" t="str">
        <f>HYPERLINK("https%3A%2F%2Fwww.webofscience.com%2Fwos%2Fwoscc%2Ffull-record%2FWOS:000268724600014","View Full Record in Web of Science")</f>
        <v>View Full Record in Web of Science</v>
      </c>
    </row>
    <row r="52" spans="1:72" x14ac:dyDescent="0.2">
      <c r="A52" s="30" t="s">
        <v>243</v>
      </c>
      <c r="B52" s="30" t="s">
        <v>688</v>
      </c>
      <c r="C52" s="30" t="s">
        <v>245</v>
      </c>
      <c r="D52" s="30" t="s">
        <v>245</v>
      </c>
      <c r="E52" s="30" t="s">
        <v>245</v>
      </c>
      <c r="F52" s="30" t="s">
        <v>689</v>
      </c>
      <c r="G52" s="30" t="s">
        <v>245</v>
      </c>
      <c r="H52" s="30" t="s">
        <v>245</v>
      </c>
      <c r="I52" s="30" t="s">
        <v>690</v>
      </c>
      <c r="J52" s="30" t="s">
        <v>691</v>
      </c>
      <c r="K52" s="30" t="s">
        <v>245</v>
      </c>
      <c r="L52" s="30" t="s">
        <v>245</v>
      </c>
      <c r="M52" s="30" t="s">
        <v>245</v>
      </c>
      <c r="N52" s="30" t="s">
        <v>245</v>
      </c>
      <c r="O52" s="30" t="s">
        <v>245</v>
      </c>
      <c r="P52" s="30" t="s">
        <v>245</v>
      </c>
      <c r="Q52" s="30" t="s">
        <v>245</v>
      </c>
      <c r="R52" s="30" t="s">
        <v>245</v>
      </c>
      <c r="S52" s="30" t="s">
        <v>245</v>
      </c>
      <c r="T52" s="30" t="s">
        <v>245</v>
      </c>
      <c r="U52" s="30" t="s">
        <v>245</v>
      </c>
      <c r="V52" s="30" t="s">
        <v>245</v>
      </c>
      <c r="W52" s="30" t="s">
        <v>245</v>
      </c>
      <c r="X52" s="30" t="s">
        <v>245</v>
      </c>
      <c r="Y52" s="30" t="s">
        <v>245</v>
      </c>
      <c r="Z52" s="30" t="s">
        <v>245</v>
      </c>
      <c r="AA52" s="30" t="s">
        <v>245</v>
      </c>
      <c r="AB52" s="30" t="s">
        <v>245</v>
      </c>
      <c r="AC52" s="30" t="s">
        <v>245</v>
      </c>
      <c r="AD52" s="30" t="s">
        <v>245</v>
      </c>
      <c r="AE52" s="30" t="s">
        <v>245</v>
      </c>
      <c r="AF52" s="30" t="s">
        <v>245</v>
      </c>
      <c r="AG52" s="30" t="s">
        <v>245</v>
      </c>
      <c r="AH52" s="30" t="s">
        <v>245</v>
      </c>
      <c r="AI52" s="30" t="s">
        <v>245</v>
      </c>
      <c r="AJ52" s="30" t="s">
        <v>245</v>
      </c>
      <c r="AK52" s="30" t="s">
        <v>245</v>
      </c>
      <c r="AL52" s="30" t="s">
        <v>245</v>
      </c>
      <c r="AM52" s="30" t="s">
        <v>245</v>
      </c>
      <c r="AN52" s="30" t="s">
        <v>245</v>
      </c>
      <c r="AO52" s="30" t="s">
        <v>692</v>
      </c>
      <c r="AP52" s="30" t="s">
        <v>245</v>
      </c>
      <c r="AQ52" s="30" t="s">
        <v>245</v>
      </c>
      <c r="AR52" s="30" t="s">
        <v>245</v>
      </c>
      <c r="AS52" s="30" t="s">
        <v>245</v>
      </c>
      <c r="AT52" s="30" t="s">
        <v>693</v>
      </c>
      <c r="AU52" s="30">
        <v>2017</v>
      </c>
      <c r="AV52" s="30">
        <v>112</v>
      </c>
      <c r="AW52" s="30">
        <v>5</v>
      </c>
      <c r="AX52" s="30" t="s">
        <v>245</v>
      </c>
      <c r="AY52" s="30" t="s">
        <v>245</v>
      </c>
      <c r="AZ52" s="30" t="s">
        <v>245</v>
      </c>
      <c r="BA52" s="30" t="s">
        <v>245</v>
      </c>
      <c r="BB52" s="30">
        <v>989</v>
      </c>
      <c r="BC52" s="30">
        <v>995</v>
      </c>
      <c r="BD52" s="30" t="s">
        <v>245</v>
      </c>
      <c r="BE52" s="30" t="s">
        <v>694</v>
      </c>
      <c r="BF52" s="30" t="str">
        <f>HYPERLINK("http://dx.doi.org/10.18520/cs/v112/i05/989-995","http://dx.doi.org/10.18520/cs/v112/i05/989-995")</f>
        <v>http://dx.doi.org/10.18520/cs/v112/i05/989-995</v>
      </c>
      <c r="BG52" s="30" t="s">
        <v>245</v>
      </c>
      <c r="BH52" s="30" t="s">
        <v>245</v>
      </c>
      <c r="BI52" s="30" t="s">
        <v>245</v>
      </c>
      <c r="BJ52" s="30" t="s">
        <v>245</v>
      </c>
      <c r="BK52" s="30" t="s">
        <v>245</v>
      </c>
      <c r="BL52" s="30" t="s">
        <v>245</v>
      </c>
      <c r="BM52" s="30" t="s">
        <v>245</v>
      </c>
      <c r="BN52" s="30" t="s">
        <v>245</v>
      </c>
      <c r="BO52" s="30" t="s">
        <v>245</v>
      </c>
      <c r="BP52" s="30" t="s">
        <v>245</v>
      </c>
      <c r="BQ52" s="30" t="s">
        <v>245</v>
      </c>
      <c r="BR52" s="30" t="s">
        <v>245</v>
      </c>
      <c r="BS52" s="30" t="s">
        <v>695</v>
      </c>
      <c r="BT52" s="30" t="str">
        <f>HYPERLINK("https%3A%2F%2Fwww.webofscience.com%2Fwos%2Fwoscc%2Ffull-record%2FWOS:000398131300020","View Full Record in Web of Science")</f>
        <v>View Full Record in Web of Science</v>
      </c>
    </row>
    <row r="53" spans="1:72" x14ac:dyDescent="0.2">
      <c r="A53" s="30" t="s">
        <v>243</v>
      </c>
      <c r="B53" s="30" t="s">
        <v>696</v>
      </c>
      <c r="C53" s="30" t="s">
        <v>245</v>
      </c>
      <c r="D53" s="30" t="s">
        <v>245</v>
      </c>
      <c r="E53" s="30" t="s">
        <v>245</v>
      </c>
      <c r="F53" s="30" t="s">
        <v>696</v>
      </c>
      <c r="G53" s="30" t="s">
        <v>245</v>
      </c>
      <c r="H53" s="30" t="s">
        <v>245</v>
      </c>
      <c r="I53" s="30" t="s">
        <v>697</v>
      </c>
      <c r="J53" s="30" t="s">
        <v>698</v>
      </c>
      <c r="K53" s="30" t="s">
        <v>245</v>
      </c>
      <c r="L53" s="30" t="s">
        <v>245</v>
      </c>
      <c r="M53" s="30" t="s">
        <v>245</v>
      </c>
      <c r="N53" s="30" t="s">
        <v>245</v>
      </c>
      <c r="O53" s="30" t="s">
        <v>245</v>
      </c>
      <c r="P53" s="30" t="s">
        <v>245</v>
      </c>
      <c r="Q53" s="30" t="s">
        <v>245</v>
      </c>
      <c r="R53" s="30" t="s">
        <v>245</v>
      </c>
      <c r="S53" s="30" t="s">
        <v>245</v>
      </c>
      <c r="T53" s="30" t="s">
        <v>245</v>
      </c>
      <c r="U53" s="30" t="s">
        <v>245</v>
      </c>
      <c r="V53" s="30" t="s">
        <v>245</v>
      </c>
      <c r="W53" s="30" t="s">
        <v>245</v>
      </c>
      <c r="X53" s="30" t="s">
        <v>245</v>
      </c>
      <c r="Y53" s="30" t="s">
        <v>245</v>
      </c>
      <c r="Z53" s="30" t="s">
        <v>245</v>
      </c>
      <c r="AA53" s="30" t="s">
        <v>245</v>
      </c>
      <c r="AB53" s="30" t="s">
        <v>245</v>
      </c>
      <c r="AC53" s="30" t="s">
        <v>245</v>
      </c>
      <c r="AD53" s="30" t="s">
        <v>245</v>
      </c>
      <c r="AE53" s="30" t="s">
        <v>245</v>
      </c>
      <c r="AF53" s="30" t="s">
        <v>245</v>
      </c>
      <c r="AG53" s="30" t="s">
        <v>245</v>
      </c>
      <c r="AH53" s="30" t="s">
        <v>245</v>
      </c>
      <c r="AI53" s="30" t="s">
        <v>245</v>
      </c>
      <c r="AJ53" s="30" t="s">
        <v>245</v>
      </c>
      <c r="AK53" s="30" t="s">
        <v>245</v>
      </c>
      <c r="AL53" s="30" t="s">
        <v>245</v>
      </c>
      <c r="AM53" s="30" t="s">
        <v>245</v>
      </c>
      <c r="AN53" s="30" t="s">
        <v>245</v>
      </c>
      <c r="AO53" s="30" t="s">
        <v>699</v>
      </c>
      <c r="AP53" s="30" t="s">
        <v>245</v>
      </c>
      <c r="AQ53" s="30" t="s">
        <v>245</v>
      </c>
      <c r="AR53" s="30" t="s">
        <v>245</v>
      </c>
      <c r="AS53" s="30" t="s">
        <v>245</v>
      </c>
      <c r="AT53" s="30" t="s">
        <v>245</v>
      </c>
      <c r="AU53" s="30">
        <v>1994</v>
      </c>
      <c r="AV53" s="30">
        <v>39</v>
      </c>
      <c r="AW53" s="30">
        <v>2</v>
      </c>
      <c r="AX53" s="30" t="s">
        <v>245</v>
      </c>
      <c r="AY53" s="30" t="s">
        <v>245</v>
      </c>
      <c r="AZ53" s="30" t="s">
        <v>245</v>
      </c>
      <c r="BA53" s="30" t="s">
        <v>245</v>
      </c>
      <c r="BB53" s="30">
        <v>147</v>
      </c>
      <c r="BC53" s="30">
        <v>152</v>
      </c>
      <c r="BD53" s="30" t="s">
        <v>245</v>
      </c>
      <c r="BE53" s="30" t="s">
        <v>700</v>
      </c>
      <c r="BF53" s="30" t="str">
        <f>HYPERLINK("http://dx.doi.org/10.1007/BF00750913","http://dx.doi.org/10.1007/BF00750913")</f>
        <v>http://dx.doi.org/10.1007/BF00750913</v>
      </c>
      <c r="BG53" s="30" t="s">
        <v>245</v>
      </c>
      <c r="BH53" s="30" t="s">
        <v>245</v>
      </c>
      <c r="BI53" s="30" t="s">
        <v>245</v>
      </c>
      <c r="BJ53" s="30" t="s">
        <v>245</v>
      </c>
      <c r="BK53" s="30" t="s">
        <v>245</v>
      </c>
      <c r="BL53" s="30" t="s">
        <v>245</v>
      </c>
      <c r="BM53" s="30" t="s">
        <v>245</v>
      </c>
      <c r="BN53" s="30" t="s">
        <v>245</v>
      </c>
      <c r="BO53" s="30" t="s">
        <v>245</v>
      </c>
      <c r="BP53" s="30" t="s">
        <v>245</v>
      </c>
      <c r="BQ53" s="30" t="s">
        <v>245</v>
      </c>
      <c r="BR53" s="30" t="s">
        <v>245</v>
      </c>
      <c r="BS53" s="30" t="s">
        <v>701</v>
      </c>
      <c r="BT53" s="30" t="str">
        <f>HYPERLINK("https%3A%2F%2Fwww.webofscience.com%2Fwos%2Fwoscc%2Ffull-record%2FWOS:A1994QB65400008","View Full Record in Web of Science")</f>
        <v>View Full Record in Web of Science</v>
      </c>
    </row>
    <row r="54" spans="1:72" x14ac:dyDescent="0.2">
      <c r="A54" s="30" t="s">
        <v>243</v>
      </c>
      <c r="B54" s="30" t="s">
        <v>702</v>
      </c>
      <c r="C54" s="30" t="s">
        <v>245</v>
      </c>
      <c r="D54" s="30" t="s">
        <v>245</v>
      </c>
      <c r="E54" s="30" t="s">
        <v>245</v>
      </c>
      <c r="F54" s="30" t="s">
        <v>703</v>
      </c>
      <c r="G54" s="30" t="s">
        <v>245</v>
      </c>
      <c r="H54" s="30" t="s">
        <v>245</v>
      </c>
      <c r="I54" s="30" t="s">
        <v>704</v>
      </c>
      <c r="J54" s="30" t="s">
        <v>282</v>
      </c>
      <c r="K54" s="30" t="s">
        <v>245</v>
      </c>
      <c r="L54" s="30" t="s">
        <v>245</v>
      </c>
      <c r="M54" s="30" t="s">
        <v>245</v>
      </c>
      <c r="N54" s="30" t="s">
        <v>245</v>
      </c>
      <c r="O54" s="30" t="s">
        <v>245</v>
      </c>
      <c r="P54" s="30" t="s">
        <v>245</v>
      </c>
      <c r="Q54" s="30" t="s">
        <v>245</v>
      </c>
      <c r="R54" s="30" t="s">
        <v>245</v>
      </c>
      <c r="S54" s="30" t="s">
        <v>245</v>
      </c>
      <c r="T54" s="30" t="s">
        <v>245</v>
      </c>
      <c r="U54" s="30" t="s">
        <v>245</v>
      </c>
      <c r="V54" s="30" t="s">
        <v>245</v>
      </c>
      <c r="W54" s="30" t="s">
        <v>245</v>
      </c>
      <c r="X54" s="30" t="s">
        <v>245</v>
      </c>
      <c r="Y54" s="30" t="s">
        <v>245</v>
      </c>
      <c r="Z54" s="30" t="s">
        <v>245</v>
      </c>
      <c r="AA54" s="30" t="s">
        <v>705</v>
      </c>
      <c r="AB54" s="30" t="s">
        <v>706</v>
      </c>
      <c r="AC54" s="30" t="s">
        <v>245</v>
      </c>
      <c r="AD54" s="30" t="s">
        <v>245</v>
      </c>
      <c r="AE54" s="30" t="s">
        <v>245</v>
      </c>
      <c r="AF54" s="30" t="s">
        <v>245</v>
      </c>
      <c r="AG54" s="30" t="s">
        <v>245</v>
      </c>
      <c r="AH54" s="30" t="s">
        <v>245</v>
      </c>
      <c r="AI54" s="30" t="s">
        <v>245</v>
      </c>
      <c r="AJ54" s="30" t="s">
        <v>245</v>
      </c>
      <c r="AK54" s="30" t="s">
        <v>245</v>
      </c>
      <c r="AL54" s="30" t="s">
        <v>245</v>
      </c>
      <c r="AM54" s="30" t="s">
        <v>245</v>
      </c>
      <c r="AN54" s="30" t="s">
        <v>245</v>
      </c>
      <c r="AO54" s="30" t="s">
        <v>285</v>
      </c>
      <c r="AP54" s="30" t="s">
        <v>370</v>
      </c>
      <c r="AQ54" s="30" t="s">
        <v>245</v>
      </c>
      <c r="AR54" s="30" t="s">
        <v>245</v>
      </c>
      <c r="AS54" s="30" t="s">
        <v>245</v>
      </c>
      <c r="AT54" s="30" t="s">
        <v>297</v>
      </c>
      <c r="AU54" s="30">
        <v>2012</v>
      </c>
      <c r="AV54" s="30">
        <v>53</v>
      </c>
      <c r="AW54" s="30" t="s">
        <v>245</v>
      </c>
      <c r="AX54" s="30" t="s">
        <v>245</v>
      </c>
      <c r="AY54" s="30" t="s">
        <v>245</v>
      </c>
      <c r="AZ54" s="30" t="s">
        <v>245</v>
      </c>
      <c r="BA54" s="30" t="s">
        <v>245</v>
      </c>
      <c r="BB54" s="30">
        <v>82</v>
      </c>
      <c r="BC54" s="30">
        <v>89</v>
      </c>
      <c r="BD54" s="30" t="s">
        <v>245</v>
      </c>
      <c r="BE54" s="30" t="s">
        <v>707</v>
      </c>
      <c r="BF54" s="30" t="str">
        <f>HYPERLINK("http://dx.doi.org/10.1016/j.soilbio.2012.04.026","http://dx.doi.org/10.1016/j.soilbio.2012.04.026")</f>
        <v>http://dx.doi.org/10.1016/j.soilbio.2012.04.026</v>
      </c>
      <c r="BG54" s="30" t="s">
        <v>245</v>
      </c>
      <c r="BH54" s="30" t="s">
        <v>245</v>
      </c>
      <c r="BI54" s="30" t="s">
        <v>245</v>
      </c>
      <c r="BJ54" s="30" t="s">
        <v>245</v>
      </c>
      <c r="BK54" s="30" t="s">
        <v>245</v>
      </c>
      <c r="BL54" s="30" t="s">
        <v>245</v>
      </c>
      <c r="BM54" s="30" t="s">
        <v>245</v>
      </c>
      <c r="BN54" s="30" t="s">
        <v>245</v>
      </c>
      <c r="BO54" s="30" t="s">
        <v>245</v>
      </c>
      <c r="BP54" s="30" t="s">
        <v>245</v>
      </c>
      <c r="BQ54" s="30" t="s">
        <v>245</v>
      </c>
      <c r="BR54" s="30" t="s">
        <v>245</v>
      </c>
      <c r="BS54" s="30" t="s">
        <v>708</v>
      </c>
      <c r="BT54" s="30" t="str">
        <f>HYPERLINK("https%3A%2F%2Fwww.webofscience.com%2Fwos%2Fwoscc%2Ffull-record%2FWOS:000307141400012","View Full Record in Web of Science")</f>
        <v>View Full Record in Web of Science</v>
      </c>
    </row>
    <row r="55" spans="1:72" x14ac:dyDescent="0.2">
      <c r="A55" s="30" t="s">
        <v>243</v>
      </c>
      <c r="B55" s="30" t="s">
        <v>709</v>
      </c>
      <c r="C55" s="30" t="s">
        <v>245</v>
      </c>
      <c r="D55" s="30" t="s">
        <v>245</v>
      </c>
      <c r="E55" s="30" t="s">
        <v>245</v>
      </c>
      <c r="F55" s="30" t="s">
        <v>710</v>
      </c>
      <c r="G55" s="30" t="s">
        <v>245</v>
      </c>
      <c r="H55" s="30" t="s">
        <v>245</v>
      </c>
      <c r="I55" s="30" t="s">
        <v>711</v>
      </c>
      <c r="J55" s="30" t="s">
        <v>712</v>
      </c>
      <c r="K55" s="30" t="s">
        <v>245</v>
      </c>
      <c r="L55" s="30" t="s">
        <v>245</v>
      </c>
      <c r="M55" s="30" t="s">
        <v>245</v>
      </c>
      <c r="N55" s="30" t="s">
        <v>245</v>
      </c>
      <c r="O55" s="30" t="s">
        <v>245</v>
      </c>
      <c r="P55" s="30" t="s">
        <v>245</v>
      </c>
      <c r="Q55" s="30" t="s">
        <v>245</v>
      </c>
      <c r="R55" s="30" t="s">
        <v>245</v>
      </c>
      <c r="S55" s="30" t="s">
        <v>245</v>
      </c>
      <c r="T55" s="30" t="s">
        <v>245</v>
      </c>
      <c r="U55" s="30" t="s">
        <v>245</v>
      </c>
      <c r="V55" s="30" t="s">
        <v>245</v>
      </c>
      <c r="W55" s="30" t="s">
        <v>245</v>
      </c>
      <c r="X55" s="30" t="s">
        <v>245</v>
      </c>
      <c r="Y55" s="30" t="s">
        <v>245</v>
      </c>
      <c r="Z55" s="30" t="s">
        <v>245</v>
      </c>
      <c r="AA55" s="30" t="s">
        <v>713</v>
      </c>
      <c r="AB55" s="30" t="s">
        <v>714</v>
      </c>
      <c r="AC55" s="30" t="s">
        <v>245</v>
      </c>
      <c r="AD55" s="30" t="s">
        <v>245</v>
      </c>
      <c r="AE55" s="30" t="s">
        <v>245</v>
      </c>
      <c r="AF55" s="30" t="s">
        <v>245</v>
      </c>
      <c r="AG55" s="30" t="s">
        <v>245</v>
      </c>
      <c r="AH55" s="30" t="s">
        <v>245</v>
      </c>
      <c r="AI55" s="30" t="s">
        <v>245</v>
      </c>
      <c r="AJ55" s="30" t="s">
        <v>245</v>
      </c>
      <c r="AK55" s="30" t="s">
        <v>245</v>
      </c>
      <c r="AL55" s="30" t="s">
        <v>245</v>
      </c>
      <c r="AM55" s="30" t="s">
        <v>245</v>
      </c>
      <c r="AN55" s="30" t="s">
        <v>245</v>
      </c>
      <c r="AO55" s="30" t="s">
        <v>715</v>
      </c>
      <c r="AP55" s="30" t="s">
        <v>245</v>
      </c>
      <c r="AQ55" s="30" t="s">
        <v>245</v>
      </c>
      <c r="AR55" s="30" t="s">
        <v>245</v>
      </c>
      <c r="AS55" s="30" t="s">
        <v>245</v>
      </c>
      <c r="AT55" s="30" t="s">
        <v>454</v>
      </c>
      <c r="AU55" s="30">
        <v>2024</v>
      </c>
      <c r="AV55" s="30">
        <v>38</v>
      </c>
      <c r="AW55" s="30" t="s">
        <v>245</v>
      </c>
      <c r="AX55" s="30" t="s">
        <v>245</v>
      </c>
      <c r="AY55" s="30" t="s">
        <v>245</v>
      </c>
      <c r="AZ55" s="30" t="s">
        <v>245</v>
      </c>
      <c r="BA55" s="30" t="s">
        <v>245</v>
      </c>
      <c r="BB55" s="30" t="s">
        <v>245</v>
      </c>
      <c r="BC55" s="30" t="s">
        <v>245</v>
      </c>
      <c r="BD55" s="30" t="s">
        <v>716</v>
      </c>
      <c r="BE55" s="30" t="s">
        <v>717</v>
      </c>
      <c r="BF55" s="30" t="str">
        <f>HYPERLINK("http://dx.doi.org/10.1016/j.geodrs.2024.e00831","http://dx.doi.org/10.1016/j.geodrs.2024.e00831")</f>
        <v>http://dx.doi.org/10.1016/j.geodrs.2024.e00831</v>
      </c>
      <c r="BG55" s="30" t="s">
        <v>245</v>
      </c>
      <c r="BH55" s="30" t="s">
        <v>718</v>
      </c>
      <c r="BI55" s="30" t="s">
        <v>245</v>
      </c>
      <c r="BJ55" s="30" t="s">
        <v>245</v>
      </c>
      <c r="BK55" s="30" t="s">
        <v>245</v>
      </c>
      <c r="BL55" s="30" t="s">
        <v>245</v>
      </c>
      <c r="BM55" s="30" t="s">
        <v>245</v>
      </c>
      <c r="BN55" s="30" t="s">
        <v>245</v>
      </c>
      <c r="BO55" s="30" t="s">
        <v>245</v>
      </c>
      <c r="BP55" s="30" t="s">
        <v>245</v>
      </c>
      <c r="BQ55" s="30" t="s">
        <v>245</v>
      </c>
      <c r="BR55" s="30" t="s">
        <v>245</v>
      </c>
      <c r="BS55" s="30" t="s">
        <v>719</v>
      </c>
      <c r="BT55" s="30" t="str">
        <f>HYPERLINK("https%3A%2F%2Fwww.webofscience.com%2Fwos%2Fwoscc%2Ffull-record%2FWOS:001267217900001","View Full Record in Web of Science")</f>
        <v>View Full Record in Web of Science</v>
      </c>
    </row>
    <row r="56" spans="1:72" x14ac:dyDescent="0.2">
      <c r="A56" s="30" t="s">
        <v>243</v>
      </c>
      <c r="B56" s="30" t="s">
        <v>720</v>
      </c>
      <c r="C56" s="30" t="s">
        <v>245</v>
      </c>
      <c r="D56" s="30" t="s">
        <v>245</v>
      </c>
      <c r="E56" s="30" t="s">
        <v>245</v>
      </c>
      <c r="F56" s="30" t="s">
        <v>720</v>
      </c>
      <c r="G56" s="30" t="s">
        <v>245</v>
      </c>
      <c r="H56" s="30" t="s">
        <v>245</v>
      </c>
      <c r="I56" s="30" t="s">
        <v>721</v>
      </c>
      <c r="J56" s="30" t="s">
        <v>722</v>
      </c>
      <c r="K56" s="30" t="s">
        <v>245</v>
      </c>
      <c r="L56" s="30" t="s">
        <v>245</v>
      </c>
      <c r="M56" s="30" t="s">
        <v>245</v>
      </c>
      <c r="N56" s="30" t="s">
        <v>245</v>
      </c>
      <c r="O56" s="30" t="s">
        <v>245</v>
      </c>
      <c r="P56" s="30" t="s">
        <v>245</v>
      </c>
      <c r="Q56" s="30" t="s">
        <v>245</v>
      </c>
      <c r="R56" s="30" t="s">
        <v>245</v>
      </c>
      <c r="S56" s="30" t="s">
        <v>245</v>
      </c>
      <c r="T56" s="30" t="s">
        <v>245</v>
      </c>
      <c r="U56" s="30" t="s">
        <v>245</v>
      </c>
      <c r="V56" s="30" t="s">
        <v>245</v>
      </c>
      <c r="W56" s="30" t="s">
        <v>245</v>
      </c>
      <c r="X56" s="30" t="s">
        <v>245</v>
      </c>
      <c r="Y56" s="30" t="s">
        <v>245</v>
      </c>
      <c r="Z56" s="30" t="s">
        <v>245</v>
      </c>
      <c r="AA56" s="30" t="s">
        <v>723</v>
      </c>
      <c r="AB56" s="30" t="s">
        <v>245</v>
      </c>
      <c r="AC56" s="30" t="s">
        <v>245</v>
      </c>
      <c r="AD56" s="30" t="s">
        <v>245</v>
      </c>
      <c r="AE56" s="30" t="s">
        <v>245</v>
      </c>
      <c r="AF56" s="30" t="s">
        <v>245</v>
      </c>
      <c r="AG56" s="30" t="s">
        <v>245</v>
      </c>
      <c r="AH56" s="30" t="s">
        <v>245</v>
      </c>
      <c r="AI56" s="30" t="s">
        <v>245</v>
      </c>
      <c r="AJ56" s="30" t="s">
        <v>245</v>
      </c>
      <c r="AK56" s="30" t="s">
        <v>245</v>
      </c>
      <c r="AL56" s="30" t="s">
        <v>245</v>
      </c>
      <c r="AM56" s="30" t="s">
        <v>245</v>
      </c>
      <c r="AN56" s="30" t="s">
        <v>245</v>
      </c>
      <c r="AO56" s="30" t="s">
        <v>724</v>
      </c>
      <c r="AP56" s="30" t="s">
        <v>725</v>
      </c>
      <c r="AQ56" s="30" t="s">
        <v>245</v>
      </c>
      <c r="AR56" s="30" t="s">
        <v>245</v>
      </c>
      <c r="AS56" s="30" t="s">
        <v>245</v>
      </c>
      <c r="AT56" s="30" t="s">
        <v>245</v>
      </c>
      <c r="AU56" s="30">
        <v>1981</v>
      </c>
      <c r="AV56" s="30">
        <v>32</v>
      </c>
      <c r="AW56" s="30">
        <v>1</v>
      </c>
      <c r="AX56" s="30" t="s">
        <v>245</v>
      </c>
      <c r="AY56" s="30" t="s">
        <v>245</v>
      </c>
      <c r="AZ56" s="30" t="s">
        <v>245</v>
      </c>
      <c r="BA56" s="30" t="s">
        <v>245</v>
      </c>
      <c r="BB56" s="30">
        <v>37</v>
      </c>
      <c r="BC56" s="30">
        <v>45</v>
      </c>
      <c r="BD56" s="30" t="s">
        <v>245</v>
      </c>
      <c r="BE56" s="30" t="s">
        <v>726</v>
      </c>
      <c r="BF56" s="30" t="str">
        <f>HYPERLINK("http://dx.doi.org/10.1071/AR9810037","http://dx.doi.org/10.1071/AR9810037")</f>
        <v>http://dx.doi.org/10.1071/AR9810037</v>
      </c>
      <c r="BG56" s="30" t="s">
        <v>245</v>
      </c>
      <c r="BH56" s="30" t="s">
        <v>245</v>
      </c>
      <c r="BI56" s="30" t="s">
        <v>245</v>
      </c>
      <c r="BJ56" s="30" t="s">
        <v>245</v>
      </c>
      <c r="BK56" s="30" t="s">
        <v>245</v>
      </c>
      <c r="BL56" s="30" t="s">
        <v>245</v>
      </c>
      <c r="BM56" s="30" t="s">
        <v>245</v>
      </c>
      <c r="BN56" s="30" t="s">
        <v>245</v>
      </c>
      <c r="BO56" s="30" t="s">
        <v>245</v>
      </c>
      <c r="BP56" s="30" t="s">
        <v>245</v>
      </c>
      <c r="BQ56" s="30" t="s">
        <v>245</v>
      </c>
      <c r="BR56" s="30" t="s">
        <v>245</v>
      </c>
      <c r="BS56" s="30" t="s">
        <v>727</v>
      </c>
      <c r="BT56" s="30" t="str">
        <f>HYPERLINK("https%3A%2F%2Fwww.webofscience.com%2Fwos%2Fwoscc%2Ffull-record%2FWOS:A1981LB54000005","View Full Record in Web of Science")</f>
        <v>View Full Record in Web of Science</v>
      </c>
    </row>
    <row r="57" spans="1:72" x14ac:dyDescent="0.2">
      <c r="A57" s="30" t="s">
        <v>243</v>
      </c>
      <c r="B57" s="30" t="s">
        <v>728</v>
      </c>
      <c r="C57" s="30" t="s">
        <v>245</v>
      </c>
      <c r="D57" s="30" t="s">
        <v>245</v>
      </c>
      <c r="E57" s="30" t="s">
        <v>245</v>
      </c>
      <c r="F57" s="30" t="s">
        <v>729</v>
      </c>
      <c r="G57" s="30" t="s">
        <v>245</v>
      </c>
      <c r="H57" s="30" t="s">
        <v>245</v>
      </c>
      <c r="I57" s="30" t="s">
        <v>730</v>
      </c>
      <c r="J57" s="30" t="s">
        <v>652</v>
      </c>
      <c r="K57" s="30" t="s">
        <v>245</v>
      </c>
      <c r="L57" s="30" t="s">
        <v>245</v>
      </c>
      <c r="M57" s="30" t="s">
        <v>245</v>
      </c>
      <c r="N57" s="30" t="s">
        <v>245</v>
      </c>
      <c r="O57" s="30" t="s">
        <v>245</v>
      </c>
      <c r="P57" s="30" t="s">
        <v>245</v>
      </c>
      <c r="Q57" s="30" t="s">
        <v>245</v>
      </c>
      <c r="R57" s="30" t="s">
        <v>245</v>
      </c>
      <c r="S57" s="30" t="s">
        <v>245</v>
      </c>
      <c r="T57" s="30" t="s">
        <v>245</v>
      </c>
      <c r="U57" s="30" t="s">
        <v>245</v>
      </c>
      <c r="V57" s="30" t="s">
        <v>245</v>
      </c>
      <c r="W57" s="30" t="s">
        <v>245</v>
      </c>
      <c r="X57" s="30" t="s">
        <v>245</v>
      </c>
      <c r="Y57" s="30" t="s">
        <v>245</v>
      </c>
      <c r="Z57" s="30" t="s">
        <v>245</v>
      </c>
      <c r="AA57" s="30" t="s">
        <v>731</v>
      </c>
      <c r="AB57" s="30" t="s">
        <v>732</v>
      </c>
      <c r="AC57" s="30" t="s">
        <v>245</v>
      </c>
      <c r="AD57" s="30" t="s">
        <v>245</v>
      </c>
      <c r="AE57" s="30" t="s">
        <v>245</v>
      </c>
      <c r="AF57" s="30" t="s">
        <v>245</v>
      </c>
      <c r="AG57" s="30" t="s">
        <v>245</v>
      </c>
      <c r="AH57" s="30" t="s">
        <v>245</v>
      </c>
      <c r="AI57" s="30" t="s">
        <v>245</v>
      </c>
      <c r="AJ57" s="30" t="s">
        <v>245</v>
      </c>
      <c r="AK57" s="30" t="s">
        <v>245</v>
      </c>
      <c r="AL57" s="30" t="s">
        <v>245</v>
      </c>
      <c r="AM57" s="30" t="s">
        <v>245</v>
      </c>
      <c r="AN57" s="30" t="s">
        <v>245</v>
      </c>
      <c r="AO57" s="30" t="s">
        <v>245</v>
      </c>
      <c r="AP57" s="30" t="s">
        <v>655</v>
      </c>
      <c r="AQ57" s="30" t="s">
        <v>245</v>
      </c>
      <c r="AR57" s="30" t="s">
        <v>245</v>
      </c>
      <c r="AS57" s="30" t="s">
        <v>245</v>
      </c>
      <c r="AT57" s="30" t="s">
        <v>550</v>
      </c>
      <c r="AU57" s="30">
        <v>2021</v>
      </c>
      <c r="AV57" s="30">
        <v>11</v>
      </c>
      <c r="AW57" s="30">
        <v>11</v>
      </c>
      <c r="AX57" s="30" t="s">
        <v>245</v>
      </c>
      <c r="AY57" s="30" t="s">
        <v>245</v>
      </c>
      <c r="AZ57" s="30" t="s">
        <v>245</v>
      </c>
      <c r="BA57" s="30" t="s">
        <v>245</v>
      </c>
      <c r="BB57" s="30" t="s">
        <v>245</v>
      </c>
      <c r="BC57" s="30" t="s">
        <v>245</v>
      </c>
      <c r="BD57" s="30">
        <v>1141</v>
      </c>
      <c r="BE57" s="30" t="s">
        <v>733</v>
      </c>
      <c r="BF57" s="30" t="str">
        <f>HYPERLINK("http://dx.doi.org/10.3390/agriculture11111141","http://dx.doi.org/10.3390/agriculture11111141")</f>
        <v>http://dx.doi.org/10.3390/agriculture11111141</v>
      </c>
      <c r="BG57" s="30" t="s">
        <v>245</v>
      </c>
      <c r="BH57" s="30" t="s">
        <v>245</v>
      </c>
      <c r="BI57" s="30" t="s">
        <v>245</v>
      </c>
      <c r="BJ57" s="30" t="s">
        <v>245</v>
      </c>
      <c r="BK57" s="30" t="s">
        <v>245</v>
      </c>
      <c r="BL57" s="30" t="s">
        <v>245</v>
      </c>
      <c r="BM57" s="30" t="s">
        <v>245</v>
      </c>
      <c r="BN57" s="30" t="s">
        <v>245</v>
      </c>
      <c r="BO57" s="30" t="s">
        <v>245</v>
      </c>
      <c r="BP57" s="30" t="s">
        <v>245</v>
      </c>
      <c r="BQ57" s="30" t="s">
        <v>245</v>
      </c>
      <c r="BR57" s="30" t="s">
        <v>245</v>
      </c>
      <c r="BS57" s="30" t="s">
        <v>734</v>
      </c>
      <c r="BT57" s="30" t="str">
        <f>HYPERLINK("https%3A%2F%2Fwww.webofscience.com%2Fwos%2Fwoscc%2Ffull-record%2FWOS:000725848100001","View Full Record in Web of Science")</f>
        <v>View Full Record in Web of Science</v>
      </c>
    </row>
    <row r="58" spans="1:72" x14ac:dyDescent="0.2">
      <c r="A58" s="30" t="s">
        <v>243</v>
      </c>
      <c r="B58" s="30" t="s">
        <v>735</v>
      </c>
      <c r="C58" s="30" t="s">
        <v>245</v>
      </c>
      <c r="D58" s="30" t="s">
        <v>245</v>
      </c>
      <c r="E58" s="30" t="s">
        <v>245</v>
      </c>
      <c r="F58" s="30" t="s">
        <v>736</v>
      </c>
      <c r="G58" s="30" t="s">
        <v>245</v>
      </c>
      <c r="H58" s="30" t="s">
        <v>245</v>
      </c>
      <c r="I58" s="30" t="s">
        <v>737</v>
      </c>
      <c r="J58" s="30" t="s">
        <v>738</v>
      </c>
      <c r="K58" s="30" t="s">
        <v>245</v>
      </c>
      <c r="L58" s="30" t="s">
        <v>245</v>
      </c>
      <c r="M58" s="30" t="s">
        <v>245</v>
      </c>
      <c r="N58" s="30" t="s">
        <v>245</v>
      </c>
      <c r="O58" s="30" t="s">
        <v>245</v>
      </c>
      <c r="P58" s="30" t="s">
        <v>245</v>
      </c>
      <c r="Q58" s="30" t="s">
        <v>245</v>
      </c>
      <c r="R58" s="30" t="s">
        <v>245</v>
      </c>
      <c r="S58" s="30" t="s">
        <v>245</v>
      </c>
      <c r="T58" s="30" t="s">
        <v>245</v>
      </c>
      <c r="U58" s="30" t="s">
        <v>245</v>
      </c>
      <c r="V58" s="30" t="s">
        <v>245</v>
      </c>
      <c r="W58" s="30" t="s">
        <v>245</v>
      </c>
      <c r="X58" s="30" t="s">
        <v>245</v>
      </c>
      <c r="Y58" s="30" t="s">
        <v>245</v>
      </c>
      <c r="Z58" s="30" t="s">
        <v>245</v>
      </c>
      <c r="AA58" s="30" t="s">
        <v>739</v>
      </c>
      <c r="AB58" s="30" t="s">
        <v>740</v>
      </c>
      <c r="AC58" s="30" t="s">
        <v>245</v>
      </c>
      <c r="AD58" s="30" t="s">
        <v>245</v>
      </c>
      <c r="AE58" s="30" t="s">
        <v>245</v>
      </c>
      <c r="AF58" s="30" t="s">
        <v>245</v>
      </c>
      <c r="AG58" s="30" t="s">
        <v>245</v>
      </c>
      <c r="AH58" s="30" t="s">
        <v>245</v>
      </c>
      <c r="AI58" s="30" t="s">
        <v>245</v>
      </c>
      <c r="AJ58" s="30" t="s">
        <v>245</v>
      </c>
      <c r="AK58" s="30" t="s">
        <v>245</v>
      </c>
      <c r="AL58" s="30" t="s">
        <v>245</v>
      </c>
      <c r="AM58" s="30" t="s">
        <v>245</v>
      </c>
      <c r="AN58" s="30" t="s">
        <v>245</v>
      </c>
      <c r="AO58" s="30" t="s">
        <v>741</v>
      </c>
      <c r="AP58" s="30" t="s">
        <v>742</v>
      </c>
      <c r="AQ58" s="30" t="s">
        <v>245</v>
      </c>
      <c r="AR58" s="30" t="s">
        <v>245</v>
      </c>
      <c r="AS58" s="30" t="s">
        <v>245</v>
      </c>
      <c r="AT58" s="30" t="s">
        <v>743</v>
      </c>
      <c r="AU58" s="30">
        <v>2020</v>
      </c>
      <c r="AV58" s="30">
        <v>37</v>
      </c>
      <c r="AW58" s="30">
        <v>1</v>
      </c>
      <c r="AX58" s="30" t="s">
        <v>245</v>
      </c>
      <c r="AY58" s="30" t="s">
        <v>245</v>
      </c>
      <c r="AZ58" s="30" t="s">
        <v>245</v>
      </c>
      <c r="BA58" s="30" t="s">
        <v>245</v>
      </c>
      <c r="BB58" s="30">
        <v>76</v>
      </c>
      <c r="BC58" s="30">
        <v>85</v>
      </c>
      <c r="BD58" s="30" t="s">
        <v>245</v>
      </c>
      <c r="BE58" s="30" t="s">
        <v>744</v>
      </c>
      <c r="BF58" s="30" t="str">
        <f>HYPERLINK("http://dx.doi.org/10.1080/01490451.2019.1666192","http://dx.doi.org/10.1080/01490451.2019.1666192")</f>
        <v>http://dx.doi.org/10.1080/01490451.2019.1666192</v>
      </c>
      <c r="BG58" s="30" t="s">
        <v>245</v>
      </c>
      <c r="BH58" s="30" t="s">
        <v>745</v>
      </c>
      <c r="BI58" s="30" t="s">
        <v>245</v>
      </c>
      <c r="BJ58" s="30" t="s">
        <v>245</v>
      </c>
      <c r="BK58" s="30" t="s">
        <v>245</v>
      </c>
      <c r="BL58" s="30" t="s">
        <v>245</v>
      </c>
      <c r="BM58" s="30" t="s">
        <v>245</v>
      </c>
      <c r="BN58" s="30" t="s">
        <v>245</v>
      </c>
      <c r="BO58" s="30" t="s">
        <v>245</v>
      </c>
      <c r="BP58" s="30" t="s">
        <v>245</v>
      </c>
      <c r="BQ58" s="30" t="s">
        <v>245</v>
      </c>
      <c r="BR58" s="30" t="s">
        <v>245</v>
      </c>
      <c r="BS58" s="30" t="s">
        <v>746</v>
      </c>
      <c r="BT58" s="30" t="str">
        <f>HYPERLINK("https%3A%2F%2Fwww.webofscience.com%2Fwos%2Fwoscc%2Ffull-record%2FWOS:000487608500001","View Full Record in Web of Science")</f>
        <v>View Full Record in Web of Science</v>
      </c>
    </row>
    <row r="59" spans="1:72" x14ac:dyDescent="0.2">
      <c r="A59" s="30" t="s">
        <v>243</v>
      </c>
      <c r="B59" s="30" t="s">
        <v>747</v>
      </c>
      <c r="C59" s="30" t="s">
        <v>245</v>
      </c>
      <c r="D59" s="30" t="s">
        <v>245</v>
      </c>
      <c r="E59" s="30" t="s">
        <v>245</v>
      </c>
      <c r="F59" s="30" t="s">
        <v>748</v>
      </c>
      <c r="G59" s="30" t="s">
        <v>245</v>
      </c>
      <c r="H59" s="30" t="s">
        <v>245</v>
      </c>
      <c r="I59" s="30" t="s">
        <v>749</v>
      </c>
      <c r="J59" s="30" t="s">
        <v>750</v>
      </c>
      <c r="K59" s="30" t="s">
        <v>245</v>
      </c>
      <c r="L59" s="30" t="s">
        <v>245</v>
      </c>
      <c r="M59" s="30" t="s">
        <v>245</v>
      </c>
      <c r="N59" s="30" t="s">
        <v>245</v>
      </c>
      <c r="O59" s="30" t="s">
        <v>245</v>
      </c>
      <c r="P59" s="30" t="s">
        <v>245</v>
      </c>
      <c r="Q59" s="30" t="s">
        <v>245</v>
      </c>
      <c r="R59" s="30" t="s">
        <v>245</v>
      </c>
      <c r="S59" s="30" t="s">
        <v>245</v>
      </c>
      <c r="T59" s="30" t="s">
        <v>245</v>
      </c>
      <c r="U59" s="30" t="s">
        <v>245</v>
      </c>
      <c r="V59" s="30" t="s">
        <v>245</v>
      </c>
      <c r="W59" s="30" t="s">
        <v>245</v>
      </c>
      <c r="X59" s="30" t="s">
        <v>245</v>
      </c>
      <c r="Y59" s="30" t="s">
        <v>245</v>
      </c>
      <c r="Z59" s="30" t="s">
        <v>245</v>
      </c>
      <c r="AA59" s="30" t="s">
        <v>751</v>
      </c>
      <c r="AB59" s="30" t="s">
        <v>752</v>
      </c>
      <c r="AC59" s="30" t="s">
        <v>245</v>
      </c>
      <c r="AD59" s="30" t="s">
        <v>245</v>
      </c>
      <c r="AE59" s="30" t="s">
        <v>245</v>
      </c>
      <c r="AF59" s="30" t="s">
        <v>245</v>
      </c>
      <c r="AG59" s="30" t="s">
        <v>245</v>
      </c>
      <c r="AH59" s="30" t="s">
        <v>245</v>
      </c>
      <c r="AI59" s="30" t="s">
        <v>245</v>
      </c>
      <c r="AJ59" s="30" t="s">
        <v>245</v>
      </c>
      <c r="AK59" s="30" t="s">
        <v>245</v>
      </c>
      <c r="AL59" s="30" t="s">
        <v>245</v>
      </c>
      <c r="AM59" s="30" t="s">
        <v>245</v>
      </c>
      <c r="AN59" s="30" t="s">
        <v>245</v>
      </c>
      <c r="AO59" s="30" t="s">
        <v>245</v>
      </c>
      <c r="AP59" s="30" t="s">
        <v>753</v>
      </c>
      <c r="AQ59" s="30" t="s">
        <v>245</v>
      </c>
      <c r="AR59" s="30" t="s">
        <v>245</v>
      </c>
      <c r="AS59" s="30" t="s">
        <v>245</v>
      </c>
      <c r="AT59" s="30" t="s">
        <v>487</v>
      </c>
      <c r="AU59" s="30">
        <v>2024</v>
      </c>
      <c r="AV59" s="30">
        <v>13</v>
      </c>
      <c r="AW59" s="30">
        <v>3</v>
      </c>
      <c r="AX59" s="30" t="s">
        <v>245</v>
      </c>
      <c r="AY59" s="30" t="s">
        <v>245</v>
      </c>
      <c r="AZ59" s="30" t="s">
        <v>245</v>
      </c>
      <c r="BA59" s="30" t="s">
        <v>245</v>
      </c>
      <c r="BB59" s="30" t="s">
        <v>245</v>
      </c>
      <c r="BC59" s="30" t="s">
        <v>245</v>
      </c>
      <c r="BD59" s="30">
        <v>36</v>
      </c>
      <c r="BE59" s="30" t="s">
        <v>754</v>
      </c>
      <c r="BF59" s="30" t="str">
        <f>HYPERLINK("http://dx.doi.org/10.3390/resources13030036","http://dx.doi.org/10.3390/resources13030036")</f>
        <v>http://dx.doi.org/10.3390/resources13030036</v>
      </c>
      <c r="BG59" s="30" t="s">
        <v>245</v>
      </c>
      <c r="BH59" s="30" t="s">
        <v>245</v>
      </c>
      <c r="BI59" s="30" t="s">
        <v>245</v>
      </c>
      <c r="BJ59" s="30" t="s">
        <v>245</v>
      </c>
      <c r="BK59" s="30" t="s">
        <v>245</v>
      </c>
      <c r="BL59" s="30" t="s">
        <v>245</v>
      </c>
      <c r="BM59" s="30" t="s">
        <v>245</v>
      </c>
      <c r="BN59" s="30" t="s">
        <v>245</v>
      </c>
      <c r="BO59" s="30" t="s">
        <v>245</v>
      </c>
      <c r="BP59" s="30" t="s">
        <v>245</v>
      </c>
      <c r="BQ59" s="30" t="s">
        <v>245</v>
      </c>
      <c r="BR59" s="30" t="s">
        <v>245</v>
      </c>
      <c r="BS59" s="30" t="s">
        <v>755</v>
      </c>
      <c r="BT59" s="30" t="str">
        <f>HYPERLINK("https%3A%2F%2Fwww.webofscience.com%2Fwos%2Fwoscc%2Ffull-record%2FWOS:001192733900001","View Full Record in Web of Science")</f>
        <v>View Full Record in Web of Science</v>
      </c>
    </row>
    <row r="60" spans="1:72" x14ac:dyDescent="0.2">
      <c r="A60" s="30" t="s">
        <v>243</v>
      </c>
      <c r="B60" s="30" t="s">
        <v>756</v>
      </c>
      <c r="C60" s="30" t="s">
        <v>245</v>
      </c>
      <c r="D60" s="30" t="s">
        <v>245</v>
      </c>
      <c r="E60" s="30" t="s">
        <v>245</v>
      </c>
      <c r="F60" s="30" t="s">
        <v>756</v>
      </c>
      <c r="G60" s="30" t="s">
        <v>245</v>
      </c>
      <c r="H60" s="30" t="s">
        <v>245</v>
      </c>
      <c r="I60" s="30" t="s">
        <v>757</v>
      </c>
      <c r="J60" s="30" t="s">
        <v>758</v>
      </c>
      <c r="K60" s="30" t="s">
        <v>245</v>
      </c>
      <c r="L60" s="30" t="s">
        <v>245</v>
      </c>
      <c r="M60" s="30" t="s">
        <v>245</v>
      </c>
      <c r="N60" s="30" t="s">
        <v>245</v>
      </c>
      <c r="O60" s="30" t="s">
        <v>245</v>
      </c>
      <c r="P60" s="30" t="s">
        <v>245</v>
      </c>
      <c r="Q60" s="30" t="s">
        <v>245</v>
      </c>
      <c r="R60" s="30" t="s">
        <v>245</v>
      </c>
      <c r="S60" s="30" t="s">
        <v>245</v>
      </c>
      <c r="T60" s="30" t="s">
        <v>245</v>
      </c>
      <c r="U60" s="30" t="s">
        <v>245</v>
      </c>
      <c r="V60" s="30" t="s">
        <v>245</v>
      </c>
      <c r="W60" s="30" t="s">
        <v>245</v>
      </c>
      <c r="X60" s="30" t="s">
        <v>245</v>
      </c>
      <c r="Y60" s="30" t="s">
        <v>245</v>
      </c>
      <c r="Z60" s="30" t="s">
        <v>245</v>
      </c>
      <c r="AA60" s="30" t="s">
        <v>245</v>
      </c>
      <c r="AB60" s="30" t="s">
        <v>245</v>
      </c>
      <c r="AC60" s="30" t="s">
        <v>245</v>
      </c>
      <c r="AD60" s="30" t="s">
        <v>245</v>
      </c>
      <c r="AE60" s="30" t="s">
        <v>245</v>
      </c>
      <c r="AF60" s="30" t="s">
        <v>245</v>
      </c>
      <c r="AG60" s="30" t="s">
        <v>245</v>
      </c>
      <c r="AH60" s="30" t="s">
        <v>245</v>
      </c>
      <c r="AI60" s="30" t="s">
        <v>245</v>
      </c>
      <c r="AJ60" s="30" t="s">
        <v>245</v>
      </c>
      <c r="AK60" s="30" t="s">
        <v>245</v>
      </c>
      <c r="AL60" s="30" t="s">
        <v>245</v>
      </c>
      <c r="AM60" s="30" t="s">
        <v>245</v>
      </c>
      <c r="AN60" s="30" t="s">
        <v>245</v>
      </c>
      <c r="AO60" s="30" t="s">
        <v>759</v>
      </c>
      <c r="AP60" s="30" t="s">
        <v>245</v>
      </c>
      <c r="AQ60" s="30" t="s">
        <v>245</v>
      </c>
      <c r="AR60" s="30" t="s">
        <v>245</v>
      </c>
      <c r="AS60" s="30" t="s">
        <v>245</v>
      </c>
      <c r="AT60" s="30" t="s">
        <v>454</v>
      </c>
      <c r="AU60" s="30">
        <v>1997</v>
      </c>
      <c r="AV60" s="30">
        <v>25</v>
      </c>
      <c r="AW60" s="30">
        <v>3</v>
      </c>
      <c r="AX60" s="30" t="s">
        <v>245</v>
      </c>
      <c r="AY60" s="30" t="s">
        <v>245</v>
      </c>
      <c r="AZ60" s="30" t="s">
        <v>245</v>
      </c>
      <c r="BA60" s="30" t="s">
        <v>245</v>
      </c>
      <c r="BB60" s="30">
        <v>252</v>
      </c>
      <c r="BC60" s="30">
        <v>260</v>
      </c>
      <c r="BD60" s="30" t="s">
        <v>245</v>
      </c>
      <c r="BE60" s="30" t="s">
        <v>760</v>
      </c>
      <c r="BF60" s="30" t="str">
        <f>HYPERLINK("http://dx.doi.org/10.1007/s003740050311","http://dx.doi.org/10.1007/s003740050311")</f>
        <v>http://dx.doi.org/10.1007/s003740050311</v>
      </c>
      <c r="BG60" s="30" t="s">
        <v>245</v>
      </c>
      <c r="BH60" s="30" t="s">
        <v>245</v>
      </c>
      <c r="BI60" s="30" t="s">
        <v>245</v>
      </c>
      <c r="BJ60" s="30" t="s">
        <v>245</v>
      </c>
      <c r="BK60" s="30" t="s">
        <v>245</v>
      </c>
      <c r="BL60" s="30" t="s">
        <v>245</v>
      </c>
      <c r="BM60" s="30" t="s">
        <v>245</v>
      </c>
      <c r="BN60" s="30" t="s">
        <v>245</v>
      </c>
      <c r="BO60" s="30" t="s">
        <v>245</v>
      </c>
      <c r="BP60" s="30" t="s">
        <v>245</v>
      </c>
      <c r="BQ60" s="30" t="s">
        <v>245</v>
      </c>
      <c r="BR60" s="30" t="s">
        <v>245</v>
      </c>
      <c r="BS60" s="30" t="s">
        <v>761</v>
      </c>
      <c r="BT60" s="30" t="str">
        <f>HYPERLINK("https%3A%2F%2Fwww.webofscience.com%2Fwos%2Fwoscc%2Ffull-record%2FWOS:A1997XY71000006","View Full Record in Web of Science")</f>
        <v>View Full Record in Web of Science</v>
      </c>
    </row>
    <row r="61" spans="1:72" x14ac:dyDescent="0.2">
      <c r="A61" s="30" t="s">
        <v>243</v>
      </c>
      <c r="B61" s="30" t="s">
        <v>762</v>
      </c>
      <c r="C61" s="30" t="s">
        <v>245</v>
      </c>
      <c r="D61" s="30" t="s">
        <v>245</v>
      </c>
      <c r="E61" s="30" t="s">
        <v>245</v>
      </c>
      <c r="F61" s="30" t="s">
        <v>763</v>
      </c>
      <c r="G61" s="30" t="s">
        <v>245</v>
      </c>
      <c r="H61" s="30" t="s">
        <v>245</v>
      </c>
      <c r="I61" s="30" t="s">
        <v>764</v>
      </c>
      <c r="J61" s="30" t="s">
        <v>765</v>
      </c>
      <c r="K61" s="30" t="s">
        <v>245</v>
      </c>
      <c r="L61" s="30" t="s">
        <v>245</v>
      </c>
      <c r="M61" s="30" t="s">
        <v>245</v>
      </c>
      <c r="N61" s="30" t="s">
        <v>245</v>
      </c>
      <c r="O61" s="30" t="s">
        <v>245</v>
      </c>
      <c r="P61" s="30" t="s">
        <v>245</v>
      </c>
      <c r="Q61" s="30" t="s">
        <v>245</v>
      </c>
      <c r="R61" s="30" t="s">
        <v>245</v>
      </c>
      <c r="S61" s="30" t="s">
        <v>245</v>
      </c>
      <c r="T61" s="30" t="s">
        <v>245</v>
      </c>
      <c r="U61" s="30" t="s">
        <v>245</v>
      </c>
      <c r="V61" s="30" t="s">
        <v>245</v>
      </c>
      <c r="W61" s="30" t="s">
        <v>245</v>
      </c>
      <c r="X61" s="30" t="s">
        <v>245</v>
      </c>
      <c r="Y61" s="30" t="s">
        <v>245</v>
      </c>
      <c r="Z61" s="30" t="s">
        <v>245</v>
      </c>
      <c r="AA61" s="30" t="s">
        <v>766</v>
      </c>
      <c r="AB61" s="30" t="s">
        <v>767</v>
      </c>
      <c r="AC61" s="30" t="s">
        <v>245</v>
      </c>
      <c r="AD61" s="30" t="s">
        <v>245</v>
      </c>
      <c r="AE61" s="30" t="s">
        <v>245</v>
      </c>
      <c r="AF61" s="30" t="s">
        <v>245</v>
      </c>
      <c r="AG61" s="30" t="s">
        <v>245</v>
      </c>
      <c r="AH61" s="30" t="s">
        <v>245</v>
      </c>
      <c r="AI61" s="30" t="s">
        <v>245</v>
      </c>
      <c r="AJ61" s="30" t="s">
        <v>245</v>
      </c>
      <c r="AK61" s="30" t="s">
        <v>245</v>
      </c>
      <c r="AL61" s="30" t="s">
        <v>245</v>
      </c>
      <c r="AM61" s="30" t="s">
        <v>245</v>
      </c>
      <c r="AN61" s="30" t="s">
        <v>245</v>
      </c>
      <c r="AO61" s="30" t="s">
        <v>768</v>
      </c>
      <c r="AP61" s="30" t="s">
        <v>769</v>
      </c>
      <c r="AQ61" s="30" t="s">
        <v>245</v>
      </c>
      <c r="AR61" s="30" t="s">
        <v>245</v>
      </c>
      <c r="AS61" s="30" t="s">
        <v>245</v>
      </c>
      <c r="AT61" s="30" t="s">
        <v>770</v>
      </c>
      <c r="AU61" s="30">
        <v>2020</v>
      </c>
      <c r="AV61" s="30">
        <v>230</v>
      </c>
      <c r="AW61" s="30" t="s">
        <v>245</v>
      </c>
      <c r="AX61" s="30" t="s">
        <v>245</v>
      </c>
      <c r="AY61" s="30" t="s">
        <v>245</v>
      </c>
      <c r="AZ61" s="30" t="s">
        <v>245</v>
      </c>
      <c r="BA61" s="30" t="s">
        <v>245</v>
      </c>
      <c r="BB61" s="30" t="s">
        <v>245</v>
      </c>
      <c r="BC61" s="30" t="s">
        <v>245</v>
      </c>
      <c r="BD61" s="30">
        <v>117506</v>
      </c>
      <c r="BE61" s="30" t="s">
        <v>771</v>
      </c>
      <c r="BF61" s="30" t="str">
        <f>HYPERLINK("http://dx.doi.org/10.1016/j.atmosenv.2020.117506","http://dx.doi.org/10.1016/j.atmosenv.2020.117506")</f>
        <v>http://dx.doi.org/10.1016/j.atmosenv.2020.117506</v>
      </c>
      <c r="BG61" s="30" t="s">
        <v>245</v>
      </c>
      <c r="BH61" s="30" t="s">
        <v>245</v>
      </c>
      <c r="BI61" s="30" t="s">
        <v>245</v>
      </c>
      <c r="BJ61" s="30" t="s">
        <v>245</v>
      </c>
      <c r="BK61" s="30" t="s">
        <v>245</v>
      </c>
      <c r="BL61" s="30" t="s">
        <v>245</v>
      </c>
      <c r="BM61" s="30" t="s">
        <v>245</v>
      </c>
      <c r="BN61" s="30" t="s">
        <v>245</v>
      </c>
      <c r="BO61" s="30" t="s">
        <v>245</v>
      </c>
      <c r="BP61" s="30" t="s">
        <v>245</v>
      </c>
      <c r="BQ61" s="30" t="s">
        <v>245</v>
      </c>
      <c r="BR61" s="30" t="s">
        <v>245</v>
      </c>
      <c r="BS61" s="30" t="s">
        <v>772</v>
      </c>
      <c r="BT61" s="30" t="str">
        <f>HYPERLINK("https%3A%2F%2Fwww.webofscience.com%2Fwos%2Fwoscc%2Ffull-record%2FWOS:000537838300018","View Full Record in Web of Science")</f>
        <v>View Full Record in Web of Science</v>
      </c>
    </row>
    <row r="62" spans="1:72" x14ac:dyDescent="0.2">
      <c r="A62" s="30" t="s">
        <v>243</v>
      </c>
      <c r="B62" s="30" t="s">
        <v>773</v>
      </c>
      <c r="C62" s="30" t="s">
        <v>245</v>
      </c>
      <c r="D62" s="30" t="s">
        <v>245</v>
      </c>
      <c r="E62" s="30" t="s">
        <v>245</v>
      </c>
      <c r="F62" s="30" t="s">
        <v>774</v>
      </c>
      <c r="G62" s="30" t="s">
        <v>245</v>
      </c>
      <c r="H62" s="30" t="s">
        <v>245</v>
      </c>
      <c r="I62" s="30" t="s">
        <v>775</v>
      </c>
      <c r="J62" s="30" t="s">
        <v>776</v>
      </c>
      <c r="K62" s="30" t="s">
        <v>245</v>
      </c>
      <c r="L62" s="30" t="s">
        <v>245</v>
      </c>
      <c r="M62" s="30" t="s">
        <v>245</v>
      </c>
      <c r="N62" s="30" t="s">
        <v>245</v>
      </c>
      <c r="O62" s="30" t="s">
        <v>245</v>
      </c>
      <c r="P62" s="30" t="s">
        <v>245</v>
      </c>
      <c r="Q62" s="30" t="s">
        <v>245</v>
      </c>
      <c r="R62" s="30" t="s">
        <v>245</v>
      </c>
      <c r="S62" s="30" t="s">
        <v>245</v>
      </c>
      <c r="T62" s="30" t="s">
        <v>245</v>
      </c>
      <c r="U62" s="30" t="s">
        <v>245</v>
      </c>
      <c r="V62" s="30" t="s">
        <v>245</v>
      </c>
      <c r="W62" s="30" t="s">
        <v>245</v>
      </c>
      <c r="X62" s="30" t="s">
        <v>245</v>
      </c>
      <c r="Y62" s="30" t="s">
        <v>245</v>
      </c>
      <c r="Z62" s="30" t="s">
        <v>245</v>
      </c>
      <c r="AA62" s="30" t="s">
        <v>777</v>
      </c>
      <c r="AB62" s="30" t="s">
        <v>778</v>
      </c>
      <c r="AC62" s="30" t="s">
        <v>245</v>
      </c>
      <c r="AD62" s="30" t="s">
        <v>245</v>
      </c>
      <c r="AE62" s="30" t="s">
        <v>245</v>
      </c>
      <c r="AF62" s="30" t="s">
        <v>245</v>
      </c>
      <c r="AG62" s="30" t="s">
        <v>245</v>
      </c>
      <c r="AH62" s="30" t="s">
        <v>245</v>
      </c>
      <c r="AI62" s="30" t="s">
        <v>245</v>
      </c>
      <c r="AJ62" s="30" t="s">
        <v>245</v>
      </c>
      <c r="AK62" s="30" t="s">
        <v>245</v>
      </c>
      <c r="AL62" s="30" t="s">
        <v>245</v>
      </c>
      <c r="AM62" s="30" t="s">
        <v>245</v>
      </c>
      <c r="AN62" s="30" t="s">
        <v>245</v>
      </c>
      <c r="AO62" s="30" t="s">
        <v>779</v>
      </c>
      <c r="AP62" s="30" t="s">
        <v>245</v>
      </c>
      <c r="AQ62" s="30" t="s">
        <v>245</v>
      </c>
      <c r="AR62" s="30" t="s">
        <v>245</v>
      </c>
      <c r="AS62" s="30" t="s">
        <v>245</v>
      </c>
      <c r="AT62" s="30" t="s">
        <v>481</v>
      </c>
      <c r="AU62" s="30">
        <v>2015</v>
      </c>
      <c r="AV62" s="30">
        <v>13</v>
      </c>
      <c r="AW62" s="30">
        <v>4</v>
      </c>
      <c r="AX62" s="30" t="s">
        <v>245</v>
      </c>
      <c r="AY62" s="30" t="s">
        <v>245</v>
      </c>
      <c r="AZ62" s="30" t="s">
        <v>245</v>
      </c>
      <c r="BA62" s="30" t="s">
        <v>245</v>
      </c>
      <c r="BB62" s="30" t="s">
        <v>245</v>
      </c>
      <c r="BC62" s="30" t="s">
        <v>245</v>
      </c>
      <c r="BD62" s="30" t="s">
        <v>245</v>
      </c>
      <c r="BE62" s="30" t="s">
        <v>780</v>
      </c>
      <c r="BF62" s="30" t="str">
        <f>HYPERLINK("http://dx.doi.org/10.5424/sjar/2015134-7622","http://dx.doi.org/10.5424/sjar/2015134-7622")</f>
        <v>http://dx.doi.org/10.5424/sjar/2015134-7622</v>
      </c>
      <c r="BG62" s="30" t="s">
        <v>245</v>
      </c>
      <c r="BH62" s="30" t="s">
        <v>245</v>
      </c>
      <c r="BI62" s="30" t="s">
        <v>245</v>
      </c>
      <c r="BJ62" s="30" t="s">
        <v>245</v>
      </c>
      <c r="BK62" s="30" t="s">
        <v>245</v>
      </c>
      <c r="BL62" s="30" t="s">
        <v>245</v>
      </c>
      <c r="BM62" s="30" t="s">
        <v>245</v>
      </c>
      <c r="BN62" s="30" t="s">
        <v>245</v>
      </c>
      <c r="BO62" s="30" t="s">
        <v>245</v>
      </c>
      <c r="BP62" s="30" t="s">
        <v>245</v>
      </c>
      <c r="BQ62" s="30" t="s">
        <v>245</v>
      </c>
      <c r="BR62" s="30" t="s">
        <v>245</v>
      </c>
      <c r="BS62" s="30" t="s">
        <v>781</v>
      </c>
      <c r="BT62" s="30" t="str">
        <f>HYPERLINK("https%3A%2F%2Fwww.webofscience.com%2Fwos%2Fwoscc%2Ffull-record%2FWOS:000367022100009","View Full Record in Web of Science")</f>
        <v>View Full Record in Web of Science</v>
      </c>
    </row>
    <row r="63" spans="1:72" x14ac:dyDescent="0.2">
      <c r="A63" s="30" t="s">
        <v>243</v>
      </c>
      <c r="B63" s="30" t="s">
        <v>782</v>
      </c>
      <c r="C63" s="30" t="s">
        <v>245</v>
      </c>
      <c r="D63" s="30" t="s">
        <v>245</v>
      </c>
      <c r="E63" s="30" t="s">
        <v>245</v>
      </c>
      <c r="F63" s="30" t="s">
        <v>782</v>
      </c>
      <c r="G63" s="30" t="s">
        <v>245</v>
      </c>
      <c r="H63" s="30" t="s">
        <v>245</v>
      </c>
      <c r="I63" s="30" t="s">
        <v>783</v>
      </c>
      <c r="J63" s="30" t="s">
        <v>784</v>
      </c>
      <c r="K63" s="30" t="s">
        <v>245</v>
      </c>
      <c r="L63" s="30" t="s">
        <v>245</v>
      </c>
      <c r="M63" s="30" t="s">
        <v>245</v>
      </c>
      <c r="N63" s="30" t="s">
        <v>245</v>
      </c>
      <c r="O63" s="30" t="s">
        <v>245</v>
      </c>
      <c r="P63" s="30" t="s">
        <v>245</v>
      </c>
      <c r="Q63" s="30" t="s">
        <v>245</v>
      </c>
      <c r="R63" s="30" t="s">
        <v>245</v>
      </c>
      <c r="S63" s="30" t="s">
        <v>245</v>
      </c>
      <c r="T63" s="30" t="s">
        <v>245</v>
      </c>
      <c r="U63" s="30" t="s">
        <v>245</v>
      </c>
      <c r="V63" s="30" t="s">
        <v>245</v>
      </c>
      <c r="W63" s="30" t="s">
        <v>245</v>
      </c>
      <c r="X63" s="30" t="s">
        <v>245</v>
      </c>
      <c r="Y63" s="30" t="s">
        <v>245</v>
      </c>
      <c r="Z63" s="30" t="s">
        <v>245</v>
      </c>
      <c r="AA63" s="30" t="s">
        <v>785</v>
      </c>
      <c r="AB63" s="30" t="s">
        <v>786</v>
      </c>
      <c r="AC63" s="30" t="s">
        <v>245</v>
      </c>
      <c r="AD63" s="30" t="s">
        <v>245</v>
      </c>
      <c r="AE63" s="30" t="s">
        <v>245</v>
      </c>
      <c r="AF63" s="30" t="s">
        <v>245</v>
      </c>
      <c r="AG63" s="30" t="s">
        <v>245</v>
      </c>
      <c r="AH63" s="30" t="s">
        <v>245</v>
      </c>
      <c r="AI63" s="30" t="s">
        <v>245</v>
      </c>
      <c r="AJ63" s="30" t="s">
        <v>245</v>
      </c>
      <c r="AK63" s="30" t="s">
        <v>245</v>
      </c>
      <c r="AL63" s="30" t="s">
        <v>245</v>
      </c>
      <c r="AM63" s="30" t="s">
        <v>245</v>
      </c>
      <c r="AN63" s="30" t="s">
        <v>245</v>
      </c>
      <c r="AO63" s="30" t="s">
        <v>787</v>
      </c>
      <c r="AP63" s="30" t="s">
        <v>788</v>
      </c>
      <c r="AQ63" s="30" t="s">
        <v>245</v>
      </c>
      <c r="AR63" s="30" t="s">
        <v>245</v>
      </c>
      <c r="AS63" s="30" t="s">
        <v>245</v>
      </c>
      <c r="AT63" s="30" t="s">
        <v>354</v>
      </c>
      <c r="AU63" s="30">
        <v>1998</v>
      </c>
      <c r="AV63" s="30">
        <v>4</v>
      </c>
      <c r="AW63" s="30">
        <v>4</v>
      </c>
      <c r="AX63" s="30" t="s">
        <v>245</v>
      </c>
      <c r="AY63" s="30" t="s">
        <v>245</v>
      </c>
      <c r="AZ63" s="30" t="s">
        <v>245</v>
      </c>
      <c r="BA63" s="30" t="s">
        <v>245</v>
      </c>
      <c r="BB63" s="30">
        <v>397</v>
      </c>
      <c r="BC63" s="30">
        <v>407</v>
      </c>
      <c r="BD63" s="30" t="s">
        <v>245</v>
      </c>
      <c r="BE63" s="30" t="s">
        <v>789</v>
      </c>
      <c r="BF63" s="30" t="str">
        <f>HYPERLINK("http://dx.doi.org/10.1046/j.1365-2486.1998.00162.x","http://dx.doi.org/10.1046/j.1365-2486.1998.00162.x")</f>
        <v>http://dx.doi.org/10.1046/j.1365-2486.1998.00162.x</v>
      </c>
      <c r="BG63" s="30" t="s">
        <v>245</v>
      </c>
      <c r="BH63" s="30" t="s">
        <v>245</v>
      </c>
      <c r="BI63" s="30" t="s">
        <v>245</v>
      </c>
      <c r="BJ63" s="30" t="s">
        <v>245</v>
      </c>
      <c r="BK63" s="30" t="s">
        <v>245</v>
      </c>
      <c r="BL63" s="30" t="s">
        <v>245</v>
      </c>
      <c r="BM63" s="30" t="s">
        <v>245</v>
      </c>
      <c r="BN63" s="30" t="s">
        <v>245</v>
      </c>
      <c r="BO63" s="30" t="s">
        <v>245</v>
      </c>
      <c r="BP63" s="30" t="s">
        <v>245</v>
      </c>
      <c r="BQ63" s="30" t="s">
        <v>245</v>
      </c>
      <c r="BR63" s="30" t="s">
        <v>245</v>
      </c>
      <c r="BS63" s="30" t="s">
        <v>790</v>
      </c>
      <c r="BT63" s="30" t="str">
        <f>HYPERLINK("https%3A%2F%2Fwww.webofscience.com%2Fwos%2Fwoscc%2Ffull-record%2FWOS:000073392600004","View Full Record in Web of Science")</f>
        <v>View Full Record in Web of Science</v>
      </c>
    </row>
    <row r="64" spans="1:72" x14ac:dyDescent="0.2">
      <c r="A64" s="30" t="s">
        <v>243</v>
      </c>
      <c r="B64" s="30" t="s">
        <v>791</v>
      </c>
      <c r="C64" s="30" t="s">
        <v>245</v>
      </c>
      <c r="D64" s="30" t="s">
        <v>245</v>
      </c>
      <c r="E64" s="30" t="s">
        <v>245</v>
      </c>
      <c r="F64" s="30" t="s">
        <v>791</v>
      </c>
      <c r="G64" s="30" t="s">
        <v>245</v>
      </c>
      <c r="H64" s="30" t="s">
        <v>245</v>
      </c>
      <c r="I64" s="30" t="s">
        <v>792</v>
      </c>
      <c r="J64" s="30" t="s">
        <v>758</v>
      </c>
      <c r="K64" s="30" t="s">
        <v>245</v>
      </c>
      <c r="L64" s="30" t="s">
        <v>245</v>
      </c>
      <c r="M64" s="30" t="s">
        <v>245</v>
      </c>
      <c r="N64" s="30" t="s">
        <v>245</v>
      </c>
      <c r="O64" s="30" t="s">
        <v>245</v>
      </c>
      <c r="P64" s="30" t="s">
        <v>245</v>
      </c>
      <c r="Q64" s="30" t="s">
        <v>245</v>
      </c>
      <c r="R64" s="30" t="s">
        <v>245</v>
      </c>
      <c r="S64" s="30" t="s">
        <v>245</v>
      </c>
      <c r="T64" s="30" t="s">
        <v>245</v>
      </c>
      <c r="U64" s="30" t="s">
        <v>245</v>
      </c>
      <c r="V64" s="30" t="s">
        <v>245</v>
      </c>
      <c r="W64" s="30" t="s">
        <v>245</v>
      </c>
      <c r="X64" s="30" t="s">
        <v>245</v>
      </c>
      <c r="Y64" s="30" t="s">
        <v>245</v>
      </c>
      <c r="Z64" s="30" t="s">
        <v>245</v>
      </c>
      <c r="AA64" s="30" t="s">
        <v>793</v>
      </c>
      <c r="AB64" s="30" t="s">
        <v>794</v>
      </c>
      <c r="AC64" s="30" t="s">
        <v>245</v>
      </c>
      <c r="AD64" s="30" t="s">
        <v>245</v>
      </c>
      <c r="AE64" s="30" t="s">
        <v>245</v>
      </c>
      <c r="AF64" s="30" t="s">
        <v>245</v>
      </c>
      <c r="AG64" s="30" t="s">
        <v>245</v>
      </c>
      <c r="AH64" s="30" t="s">
        <v>245</v>
      </c>
      <c r="AI64" s="30" t="s">
        <v>245</v>
      </c>
      <c r="AJ64" s="30" t="s">
        <v>245</v>
      </c>
      <c r="AK64" s="30" t="s">
        <v>245</v>
      </c>
      <c r="AL64" s="30" t="s">
        <v>245</v>
      </c>
      <c r="AM64" s="30" t="s">
        <v>245</v>
      </c>
      <c r="AN64" s="30" t="s">
        <v>245</v>
      </c>
      <c r="AO64" s="30" t="s">
        <v>759</v>
      </c>
      <c r="AP64" s="30" t="s">
        <v>245</v>
      </c>
      <c r="AQ64" s="30" t="s">
        <v>245</v>
      </c>
      <c r="AR64" s="30" t="s">
        <v>245</v>
      </c>
      <c r="AS64" s="30" t="s">
        <v>245</v>
      </c>
      <c r="AT64" s="30" t="s">
        <v>354</v>
      </c>
      <c r="AU64" s="30">
        <v>2002</v>
      </c>
      <c r="AV64" s="30">
        <v>35</v>
      </c>
      <c r="AW64" s="30">
        <v>2</v>
      </c>
      <c r="AX64" s="30" t="s">
        <v>245</v>
      </c>
      <c r="AY64" s="30" t="s">
        <v>245</v>
      </c>
      <c r="AZ64" s="30" t="s">
        <v>245</v>
      </c>
      <c r="BA64" s="30" t="s">
        <v>245</v>
      </c>
      <c r="BB64" s="30">
        <v>108</v>
      </c>
      <c r="BC64" s="30">
        <v>113</v>
      </c>
      <c r="BD64" s="30" t="s">
        <v>245</v>
      </c>
      <c r="BE64" s="30" t="s">
        <v>795</v>
      </c>
      <c r="BF64" s="30" t="str">
        <f>HYPERLINK("http://dx.doi.org/10.1007/s00374-002-0447-7","http://dx.doi.org/10.1007/s00374-002-0447-7")</f>
        <v>http://dx.doi.org/10.1007/s00374-002-0447-7</v>
      </c>
      <c r="BG64" s="30" t="s">
        <v>245</v>
      </c>
      <c r="BH64" s="30" t="s">
        <v>245</v>
      </c>
      <c r="BI64" s="30" t="s">
        <v>245</v>
      </c>
      <c r="BJ64" s="30" t="s">
        <v>245</v>
      </c>
      <c r="BK64" s="30" t="s">
        <v>245</v>
      </c>
      <c r="BL64" s="30" t="s">
        <v>245</v>
      </c>
      <c r="BM64" s="30" t="s">
        <v>245</v>
      </c>
      <c r="BN64" s="30" t="s">
        <v>245</v>
      </c>
      <c r="BO64" s="30" t="s">
        <v>245</v>
      </c>
      <c r="BP64" s="30" t="s">
        <v>245</v>
      </c>
      <c r="BQ64" s="30" t="s">
        <v>245</v>
      </c>
      <c r="BR64" s="30" t="s">
        <v>245</v>
      </c>
      <c r="BS64" s="30" t="s">
        <v>796</v>
      </c>
      <c r="BT64" s="30" t="str">
        <f>HYPERLINK("https%3A%2F%2Fwww.webofscience.com%2Fwos%2Fwoscc%2Ffull-record%2FWOS:000175329600007","View Full Record in Web of Science")</f>
        <v>View Full Record in Web of Science</v>
      </c>
    </row>
    <row r="65" spans="1:72" x14ac:dyDescent="0.2">
      <c r="A65" s="30" t="s">
        <v>243</v>
      </c>
      <c r="B65" s="30" t="s">
        <v>797</v>
      </c>
      <c r="C65" s="30" t="s">
        <v>245</v>
      </c>
      <c r="D65" s="30" t="s">
        <v>245</v>
      </c>
      <c r="E65" s="30" t="s">
        <v>245</v>
      </c>
      <c r="F65" s="30" t="s">
        <v>798</v>
      </c>
      <c r="G65" s="30" t="s">
        <v>245</v>
      </c>
      <c r="H65" s="30" t="s">
        <v>245</v>
      </c>
      <c r="I65" s="30" t="s">
        <v>799</v>
      </c>
      <c r="J65" s="30" t="s">
        <v>304</v>
      </c>
      <c r="K65" s="30" t="s">
        <v>245</v>
      </c>
      <c r="L65" s="30" t="s">
        <v>245</v>
      </c>
      <c r="M65" s="30" t="s">
        <v>245</v>
      </c>
      <c r="N65" s="30" t="s">
        <v>245</v>
      </c>
      <c r="O65" s="30" t="s">
        <v>245</v>
      </c>
      <c r="P65" s="30" t="s">
        <v>245</v>
      </c>
      <c r="Q65" s="30" t="s">
        <v>245</v>
      </c>
      <c r="R65" s="30" t="s">
        <v>245</v>
      </c>
      <c r="S65" s="30" t="s">
        <v>245</v>
      </c>
      <c r="T65" s="30" t="s">
        <v>245</v>
      </c>
      <c r="U65" s="30" t="s">
        <v>245</v>
      </c>
      <c r="V65" s="30" t="s">
        <v>245</v>
      </c>
      <c r="W65" s="30" t="s">
        <v>245</v>
      </c>
      <c r="X65" s="30" t="s">
        <v>245</v>
      </c>
      <c r="Y65" s="30" t="s">
        <v>245</v>
      </c>
      <c r="Z65" s="30" t="s">
        <v>245</v>
      </c>
      <c r="AA65" s="30" t="s">
        <v>800</v>
      </c>
      <c r="AB65" s="30" t="s">
        <v>250</v>
      </c>
      <c r="AC65" s="30" t="s">
        <v>245</v>
      </c>
      <c r="AD65" s="30" t="s">
        <v>245</v>
      </c>
      <c r="AE65" s="30" t="s">
        <v>245</v>
      </c>
      <c r="AF65" s="30" t="s">
        <v>245</v>
      </c>
      <c r="AG65" s="30" t="s">
        <v>245</v>
      </c>
      <c r="AH65" s="30" t="s">
        <v>245</v>
      </c>
      <c r="AI65" s="30" t="s">
        <v>245</v>
      </c>
      <c r="AJ65" s="30" t="s">
        <v>245</v>
      </c>
      <c r="AK65" s="30" t="s">
        <v>245</v>
      </c>
      <c r="AL65" s="30" t="s">
        <v>245</v>
      </c>
      <c r="AM65" s="30" t="s">
        <v>245</v>
      </c>
      <c r="AN65" s="30" t="s">
        <v>245</v>
      </c>
      <c r="AO65" s="30" t="s">
        <v>307</v>
      </c>
      <c r="AP65" s="30" t="s">
        <v>308</v>
      </c>
      <c r="AQ65" s="30" t="s">
        <v>245</v>
      </c>
      <c r="AR65" s="30" t="s">
        <v>245</v>
      </c>
      <c r="AS65" s="30" t="s">
        <v>245</v>
      </c>
      <c r="AT65" s="30" t="s">
        <v>354</v>
      </c>
      <c r="AU65" s="30">
        <v>2011</v>
      </c>
      <c r="AV65" s="30">
        <v>57</v>
      </c>
      <c r="AW65" s="30">
        <v>2</v>
      </c>
      <c r="AX65" s="30" t="s">
        <v>245</v>
      </c>
      <c r="AY65" s="30" t="s">
        <v>245</v>
      </c>
      <c r="AZ65" s="30" t="s">
        <v>245</v>
      </c>
      <c r="BA65" s="30" t="s">
        <v>245</v>
      </c>
      <c r="BB65" s="30">
        <v>348</v>
      </c>
      <c r="BC65" s="30">
        <v>360</v>
      </c>
      <c r="BD65" s="30" t="s">
        <v>801</v>
      </c>
      <c r="BE65" s="30" t="s">
        <v>802</v>
      </c>
      <c r="BF65" s="30" t="str">
        <f>HYPERLINK("http://dx.doi.org/10.1080/00380768.2011.574596","http://dx.doi.org/10.1080/00380768.2011.574596")</f>
        <v>http://dx.doi.org/10.1080/00380768.2011.574596</v>
      </c>
      <c r="BG65" s="30" t="s">
        <v>245</v>
      </c>
      <c r="BH65" s="30" t="s">
        <v>245</v>
      </c>
      <c r="BI65" s="30" t="s">
        <v>245</v>
      </c>
      <c r="BJ65" s="30" t="s">
        <v>245</v>
      </c>
      <c r="BK65" s="30" t="s">
        <v>245</v>
      </c>
      <c r="BL65" s="30" t="s">
        <v>245</v>
      </c>
      <c r="BM65" s="30" t="s">
        <v>245</v>
      </c>
      <c r="BN65" s="30" t="s">
        <v>245</v>
      </c>
      <c r="BO65" s="30" t="s">
        <v>245</v>
      </c>
      <c r="BP65" s="30" t="s">
        <v>245</v>
      </c>
      <c r="BQ65" s="30" t="s">
        <v>245</v>
      </c>
      <c r="BR65" s="30" t="s">
        <v>245</v>
      </c>
      <c r="BS65" s="30" t="s">
        <v>803</v>
      </c>
      <c r="BT65" s="30" t="str">
        <f>HYPERLINK("https%3A%2F%2Fwww.webofscience.com%2Fwos%2Fwoscc%2Ffull-record%2FWOS:000290969900019","View Full Record in Web of Science")</f>
        <v>View Full Record in Web of Science</v>
      </c>
    </row>
    <row r="66" spans="1:72" x14ac:dyDescent="0.2">
      <c r="A66" s="30" t="s">
        <v>243</v>
      </c>
      <c r="B66" s="30" t="s">
        <v>804</v>
      </c>
      <c r="C66" s="30" t="s">
        <v>245</v>
      </c>
      <c r="D66" s="30" t="s">
        <v>245</v>
      </c>
      <c r="E66" s="30" t="s">
        <v>245</v>
      </c>
      <c r="F66" s="30" t="s">
        <v>804</v>
      </c>
      <c r="G66" s="30" t="s">
        <v>245</v>
      </c>
      <c r="H66" s="30" t="s">
        <v>245</v>
      </c>
      <c r="I66" s="30" t="s">
        <v>805</v>
      </c>
      <c r="J66" s="30" t="s">
        <v>432</v>
      </c>
      <c r="K66" s="30" t="s">
        <v>245</v>
      </c>
      <c r="L66" s="30" t="s">
        <v>245</v>
      </c>
      <c r="M66" s="30" t="s">
        <v>245</v>
      </c>
      <c r="N66" s="30" t="s">
        <v>245</v>
      </c>
      <c r="O66" s="30" t="s">
        <v>245</v>
      </c>
      <c r="P66" s="30" t="s">
        <v>245</v>
      </c>
      <c r="Q66" s="30" t="s">
        <v>245</v>
      </c>
      <c r="R66" s="30" t="s">
        <v>245</v>
      </c>
      <c r="S66" s="30" t="s">
        <v>245</v>
      </c>
      <c r="T66" s="30" t="s">
        <v>245</v>
      </c>
      <c r="U66" s="30" t="s">
        <v>245</v>
      </c>
      <c r="V66" s="30" t="s">
        <v>245</v>
      </c>
      <c r="W66" s="30" t="s">
        <v>245</v>
      </c>
      <c r="X66" s="30" t="s">
        <v>245</v>
      </c>
      <c r="Y66" s="30" t="s">
        <v>245</v>
      </c>
      <c r="Z66" s="30" t="s">
        <v>245</v>
      </c>
      <c r="AA66" s="30" t="s">
        <v>806</v>
      </c>
      <c r="AB66" s="30" t="s">
        <v>807</v>
      </c>
      <c r="AC66" s="30" t="s">
        <v>245</v>
      </c>
      <c r="AD66" s="30" t="s">
        <v>245</v>
      </c>
      <c r="AE66" s="30" t="s">
        <v>245</v>
      </c>
      <c r="AF66" s="30" t="s">
        <v>245</v>
      </c>
      <c r="AG66" s="30" t="s">
        <v>245</v>
      </c>
      <c r="AH66" s="30" t="s">
        <v>245</v>
      </c>
      <c r="AI66" s="30" t="s">
        <v>245</v>
      </c>
      <c r="AJ66" s="30" t="s">
        <v>245</v>
      </c>
      <c r="AK66" s="30" t="s">
        <v>245</v>
      </c>
      <c r="AL66" s="30" t="s">
        <v>245</v>
      </c>
      <c r="AM66" s="30" t="s">
        <v>245</v>
      </c>
      <c r="AN66" s="30" t="s">
        <v>245</v>
      </c>
      <c r="AO66" s="30" t="s">
        <v>433</v>
      </c>
      <c r="AP66" s="30" t="s">
        <v>245</v>
      </c>
      <c r="AQ66" s="30" t="s">
        <v>245</v>
      </c>
      <c r="AR66" s="30" t="s">
        <v>245</v>
      </c>
      <c r="AS66" s="30" t="s">
        <v>245</v>
      </c>
      <c r="AT66" s="30" t="s">
        <v>454</v>
      </c>
      <c r="AU66" s="30">
        <v>1997</v>
      </c>
      <c r="AV66" s="30">
        <v>196</v>
      </c>
      <c r="AW66" s="30">
        <v>1</v>
      </c>
      <c r="AX66" s="30" t="s">
        <v>245</v>
      </c>
      <c r="AY66" s="30" t="s">
        <v>245</v>
      </c>
      <c r="AZ66" s="30" t="s">
        <v>245</v>
      </c>
      <c r="BA66" s="30" t="s">
        <v>245</v>
      </c>
      <c r="BB66" s="30">
        <v>7</v>
      </c>
      <c r="BC66" s="30">
        <v>14</v>
      </c>
      <c r="BD66" s="30" t="s">
        <v>245</v>
      </c>
      <c r="BE66" s="30" t="s">
        <v>808</v>
      </c>
      <c r="BF66" s="30" t="str">
        <f>HYPERLINK("http://dx.doi.org/10.1023/A:1004263405020","http://dx.doi.org/10.1023/A:1004263405020")</f>
        <v>http://dx.doi.org/10.1023/A:1004263405020</v>
      </c>
      <c r="BG66" s="30" t="s">
        <v>245</v>
      </c>
      <c r="BH66" s="30" t="s">
        <v>245</v>
      </c>
      <c r="BI66" s="30" t="s">
        <v>245</v>
      </c>
      <c r="BJ66" s="30" t="s">
        <v>245</v>
      </c>
      <c r="BK66" s="30" t="s">
        <v>245</v>
      </c>
      <c r="BL66" s="30" t="s">
        <v>245</v>
      </c>
      <c r="BM66" s="30" t="s">
        <v>245</v>
      </c>
      <c r="BN66" s="30" t="s">
        <v>245</v>
      </c>
      <c r="BO66" s="30" t="s">
        <v>245</v>
      </c>
      <c r="BP66" s="30" t="s">
        <v>245</v>
      </c>
      <c r="BQ66" s="30" t="s">
        <v>245</v>
      </c>
      <c r="BR66" s="30" t="s">
        <v>245</v>
      </c>
      <c r="BS66" s="30" t="s">
        <v>809</v>
      </c>
      <c r="BT66" s="30" t="str">
        <f>HYPERLINK("https%3A%2F%2Fwww.webofscience.com%2Fwos%2Fwoscc%2Ffull-record%2FWOS:A1997YL66500002","View Full Record in Web of Science")</f>
        <v>View Full Record in Web of Science</v>
      </c>
    </row>
    <row r="67" spans="1:72" x14ac:dyDescent="0.2">
      <c r="A67" s="30" t="s">
        <v>243</v>
      </c>
      <c r="B67" s="30" t="s">
        <v>810</v>
      </c>
      <c r="C67" s="30" t="s">
        <v>245</v>
      </c>
      <c r="D67" s="30" t="s">
        <v>245</v>
      </c>
      <c r="E67" s="30" t="s">
        <v>245</v>
      </c>
      <c r="F67" s="30" t="s">
        <v>810</v>
      </c>
      <c r="G67" s="30" t="s">
        <v>245</v>
      </c>
      <c r="H67" s="30" t="s">
        <v>245</v>
      </c>
      <c r="I67" s="30" t="s">
        <v>811</v>
      </c>
      <c r="J67" s="30" t="s">
        <v>641</v>
      </c>
      <c r="K67" s="30" t="s">
        <v>245</v>
      </c>
      <c r="L67" s="30" t="s">
        <v>245</v>
      </c>
      <c r="M67" s="30" t="s">
        <v>245</v>
      </c>
      <c r="N67" s="30" t="s">
        <v>245</v>
      </c>
      <c r="O67" s="30" t="s">
        <v>245</v>
      </c>
      <c r="P67" s="30" t="s">
        <v>245</v>
      </c>
      <c r="Q67" s="30" t="s">
        <v>245</v>
      </c>
      <c r="R67" s="30" t="s">
        <v>245</v>
      </c>
      <c r="S67" s="30" t="s">
        <v>245</v>
      </c>
      <c r="T67" s="30" t="s">
        <v>245</v>
      </c>
      <c r="U67" s="30" t="s">
        <v>245</v>
      </c>
      <c r="V67" s="30" t="s">
        <v>245</v>
      </c>
      <c r="W67" s="30" t="s">
        <v>245</v>
      </c>
      <c r="X67" s="30" t="s">
        <v>245</v>
      </c>
      <c r="Y67" s="30" t="s">
        <v>245</v>
      </c>
      <c r="Z67" s="30" t="s">
        <v>245</v>
      </c>
      <c r="AA67" s="30" t="s">
        <v>812</v>
      </c>
      <c r="AB67" s="30" t="s">
        <v>813</v>
      </c>
      <c r="AC67" s="30" t="s">
        <v>245</v>
      </c>
      <c r="AD67" s="30" t="s">
        <v>245</v>
      </c>
      <c r="AE67" s="30" t="s">
        <v>245</v>
      </c>
      <c r="AF67" s="30" t="s">
        <v>245</v>
      </c>
      <c r="AG67" s="30" t="s">
        <v>245</v>
      </c>
      <c r="AH67" s="30" t="s">
        <v>245</v>
      </c>
      <c r="AI67" s="30" t="s">
        <v>245</v>
      </c>
      <c r="AJ67" s="30" t="s">
        <v>245</v>
      </c>
      <c r="AK67" s="30" t="s">
        <v>245</v>
      </c>
      <c r="AL67" s="30" t="s">
        <v>245</v>
      </c>
      <c r="AM67" s="30" t="s">
        <v>245</v>
      </c>
      <c r="AN67" s="30" t="s">
        <v>245</v>
      </c>
      <c r="AO67" s="30" t="s">
        <v>644</v>
      </c>
      <c r="AP67" s="30" t="s">
        <v>645</v>
      </c>
      <c r="AQ67" s="30" t="s">
        <v>245</v>
      </c>
      <c r="AR67" s="30" t="s">
        <v>245</v>
      </c>
      <c r="AS67" s="30" t="s">
        <v>245</v>
      </c>
      <c r="AT67" s="30" t="s">
        <v>814</v>
      </c>
      <c r="AU67" s="30">
        <v>1996</v>
      </c>
      <c r="AV67" s="30">
        <v>25</v>
      </c>
      <c r="AW67" s="30">
        <v>4</v>
      </c>
      <c r="AX67" s="30" t="s">
        <v>245</v>
      </c>
      <c r="AY67" s="30" t="s">
        <v>245</v>
      </c>
      <c r="AZ67" s="30" t="s">
        <v>245</v>
      </c>
      <c r="BA67" s="30" t="s">
        <v>245</v>
      </c>
      <c r="BB67" s="30">
        <v>898</v>
      </c>
      <c r="BC67" s="30">
        <v>907</v>
      </c>
      <c r="BD67" s="30" t="s">
        <v>245</v>
      </c>
      <c r="BE67" s="30" t="s">
        <v>815</v>
      </c>
      <c r="BF67" s="30" t="str">
        <f>HYPERLINK("http://dx.doi.org/10.2134/jeq1996.00472425002500040035x","http://dx.doi.org/10.2134/jeq1996.00472425002500040035x")</f>
        <v>http://dx.doi.org/10.2134/jeq1996.00472425002500040035x</v>
      </c>
      <c r="BG67" s="30" t="s">
        <v>245</v>
      </c>
      <c r="BH67" s="30" t="s">
        <v>245</v>
      </c>
      <c r="BI67" s="30" t="s">
        <v>245</v>
      </c>
      <c r="BJ67" s="30" t="s">
        <v>245</v>
      </c>
      <c r="BK67" s="30" t="s">
        <v>245</v>
      </c>
      <c r="BL67" s="30" t="s">
        <v>245</v>
      </c>
      <c r="BM67" s="30" t="s">
        <v>245</v>
      </c>
      <c r="BN67" s="30" t="s">
        <v>245</v>
      </c>
      <c r="BO67" s="30" t="s">
        <v>245</v>
      </c>
      <c r="BP67" s="30" t="s">
        <v>245</v>
      </c>
      <c r="BQ67" s="30" t="s">
        <v>245</v>
      </c>
      <c r="BR67" s="30" t="s">
        <v>245</v>
      </c>
      <c r="BS67" s="30" t="s">
        <v>816</v>
      </c>
      <c r="BT67" s="30" t="str">
        <f>HYPERLINK("https%3A%2F%2Fwww.webofscience.com%2Fwos%2Fwoscc%2Ffull-record%2FWOS:A1996UX56900061","View Full Record in Web of Science")</f>
        <v>View Full Record in Web of Science</v>
      </c>
    </row>
    <row r="68" spans="1:72" x14ac:dyDescent="0.2">
      <c r="A68" s="30" t="s">
        <v>243</v>
      </c>
      <c r="B68" s="30" t="s">
        <v>817</v>
      </c>
      <c r="C68" s="30" t="s">
        <v>245</v>
      </c>
      <c r="D68" s="30" t="s">
        <v>245</v>
      </c>
      <c r="E68" s="30" t="s">
        <v>245</v>
      </c>
      <c r="F68" s="30" t="s">
        <v>818</v>
      </c>
      <c r="G68" s="30" t="s">
        <v>245</v>
      </c>
      <c r="H68" s="30" t="s">
        <v>245</v>
      </c>
      <c r="I68" s="30" t="s">
        <v>819</v>
      </c>
      <c r="J68" s="30" t="s">
        <v>758</v>
      </c>
      <c r="K68" s="30" t="s">
        <v>245</v>
      </c>
      <c r="L68" s="30" t="s">
        <v>245</v>
      </c>
      <c r="M68" s="30" t="s">
        <v>245</v>
      </c>
      <c r="N68" s="30" t="s">
        <v>245</v>
      </c>
      <c r="O68" s="30" t="s">
        <v>245</v>
      </c>
      <c r="P68" s="30" t="s">
        <v>245</v>
      </c>
      <c r="Q68" s="30" t="s">
        <v>245</v>
      </c>
      <c r="R68" s="30" t="s">
        <v>245</v>
      </c>
      <c r="S68" s="30" t="s">
        <v>245</v>
      </c>
      <c r="T68" s="30" t="s">
        <v>245</v>
      </c>
      <c r="U68" s="30" t="s">
        <v>245</v>
      </c>
      <c r="V68" s="30" t="s">
        <v>245</v>
      </c>
      <c r="W68" s="30" t="s">
        <v>245</v>
      </c>
      <c r="X68" s="30" t="s">
        <v>245</v>
      </c>
      <c r="Y68" s="30" t="s">
        <v>245</v>
      </c>
      <c r="Z68" s="30" t="s">
        <v>245</v>
      </c>
      <c r="AA68" s="30" t="s">
        <v>820</v>
      </c>
      <c r="AB68" s="30" t="s">
        <v>821</v>
      </c>
      <c r="AC68" s="30" t="s">
        <v>245</v>
      </c>
      <c r="AD68" s="30" t="s">
        <v>245</v>
      </c>
      <c r="AE68" s="30" t="s">
        <v>245</v>
      </c>
      <c r="AF68" s="30" t="s">
        <v>245</v>
      </c>
      <c r="AG68" s="30" t="s">
        <v>245</v>
      </c>
      <c r="AH68" s="30" t="s">
        <v>245</v>
      </c>
      <c r="AI68" s="30" t="s">
        <v>245</v>
      </c>
      <c r="AJ68" s="30" t="s">
        <v>245</v>
      </c>
      <c r="AK68" s="30" t="s">
        <v>245</v>
      </c>
      <c r="AL68" s="30" t="s">
        <v>245</v>
      </c>
      <c r="AM68" s="30" t="s">
        <v>245</v>
      </c>
      <c r="AN68" s="30" t="s">
        <v>245</v>
      </c>
      <c r="AO68" s="30" t="s">
        <v>759</v>
      </c>
      <c r="AP68" s="30" t="s">
        <v>822</v>
      </c>
      <c r="AQ68" s="30" t="s">
        <v>245</v>
      </c>
      <c r="AR68" s="30" t="s">
        <v>245</v>
      </c>
      <c r="AS68" s="30" t="s">
        <v>245</v>
      </c>
      <c r="AT68" s="30" t="s">
        <v>354</v>
      </c>
      <c r="AU68" s="30">
        <v>2025</v>
      </c>
      <c r="AV68" s="30">
        <v>61</v>
      </c>
      <c r="AW68" s="30">
        <v>3</v>
      </c>
      <c r="AX68" s="30" t="s">
        <v>245</v>
      </c>
      <c r="AY68" s="30" t="s">
        <v>245</v>
      </c>
      <c r="AZ68" s="30" t="s">
        <v>298</v>
      </c>
      <c r="BA68" s="30" t="s">
        <v>245</v>
      </c>
      <c r="BB68" s="30">
        <v>559</v>
      </c>
      <c r="BC68" s="30">
        <v>573</v>
      </c>
      <c r="BD68" s="30" t="s">
        <v>245</v>
      </c>
      <c r="BE68" s="30" t="s">
        <v>823</v>
      </c>
      <c r="BF68" s="30" t="str">
        <f>HYPERLINK("http://dx.doi.org/10.1007/s00374-023-01783-9","http://dx.doi.org/10.1007/s00374-023-01783-9")</f>
        <v>http://dx.doi.org/10.1007/s00374-023-01783-9</v>
      </c>
      <c r="BG68" s="30" t="s">
        <v>245</v>
      </c>
      <c r="BH68" s="30" t="s">
        <v>824</v>
      </c>
      <c r="BI68" s="30" t="s">
        <v>245</v>
      </c>
      <c r="BJ68" s="30" t="s">
        <v>245</v>
      </c>
      <c r="BK68" s="30" t="s">
        <v>245</v>
      </c>
      <c r="BL68" s="30" t="s">
        <v>245</v>
      </c>
      <c r="BM68" s="30" t="s">
        <v>245</v>
      </c>
      <c r="BN68" s="30" t="s">
        <v>245</v>
      </c>
      <c r="BO68" s="30" t="s">
        <v>245</v>
      </c>
      <c r="BP68" s="30" t="s">
        <v>245</v>
      </c>
      <c r="BQ68" s="30" t="s">
        <v>245</v>
      </c>
      <c r="BR68" s="30" t="s">
        <v>245</v>
      </c>
      <c r="BS68" s="30" t="s">
        <v>825</v>
      </c>
      <c r="BT68" s="30" t="str">
        <f>HYPERLINK("https%3A%2F%2Fwww.webofscience.com%2Fwos%2Fwoscc%2Ffull-record%2FWOS:001137707800001","View Full Record in Web of Science")</f>
        <v>View Full Record in Web of Science</v>
      </c>
    </row>
    <row r="69" spans="1:72" x14ac:dyDescent="0.2">
      <c r="A69" s="30" t="s">
        <v>243</v>
      </c>
      <c r="B69" s="30" t="s">
        <v>826</v>
      </c>
      <c r="C69" s="30" t="s">
        <v>245</v>
      </c>
      <c r="D69" s="30" t="s">
        <v>245</v>
      </c>
      <c r="E69" s="30" t="s">
        <v>245</v>
      </c>
      <c r="F69" s="30" t="s">
        <v>826</v>
      </c>
      <c r="G69" s="30" t="s">
        <v>245</v>
      </c>
      <c r="H69" s="30" t="s">
        <v>245</v>
      </c>
      <c r="I69" s="30" t="s">
        <v>827</v>
      </c>
      <c r="J69" s="30" t="s">
        <v>282</v>
      </c>
      <c r="K69" s="30" t="s">
        <v>245</v>
      </c>
      <c r="L69" s="30" t="s">
        <v>245</v>
      </c>
      <c r="M69" s="30" t="s">
        <v>245</v>
      </c>
      <c r="N69" s="30" t="s">
        <v>245</v>
      </c>
      <c r="O69" s="30" t="s">
        <v>245</v>
      </c>
      <c r="P69" s="30" t="s">
        <v>245</v>
      </c>
      <c r="Q69" s="30" t="s">
        <v>245</v>
      </c>
      <c r="R69" s="30" t="s">
        <v>245</v>
      </c>
      <c r="S69" s="30" t="s">
        <v>245</v>
      </c>
      <c r="T69" s="30" t="s">
        <v>245</v>
      </c>
      <c r="U69" s="30" t="s">
        <v>245</v>
      </c>
      <c r="V69" s="30" t="s">
        <v>245</v>
      </c>
      <c r="W69" s="30" t="s">
        <v>245</v>
      </c>
      <c r="X69" s="30" t="s">
        <v>245</v>
      </c>
      <c r="Y69" s="30" t="s">
        <v>245</v>
      </c>
      <c r="Z69" s="30" t="s">
        <v>245</v>
      </c>
      <c r="AA69" s="30" t="s">
        <v>828</v>
      </c>
      <c r="AB69" s="30" t="s">
        <v>829</v>
      </c>
      <c r="AC69" s="30" t="s">
        <v>245</v>
      </c>
      <c r="AD69" s="30" t="s">
        <v>245</v>
      </c>
      <c r="AE69" s="30" t="s">
        <v>245</v>
      </c>
      <c r="AF69" s="30" t="s">
        <v>245</v>
      </c>
      <c r="AG69" s="30" t="s">
        <v>245</v>
      </c>
      <c r="AH69" s="30" t="s">
        <v>245</v>
      </c>
      <c r="AI69" s="30" t="s">
        <v>245</v>
      </c>
      <c r="AJ69" s="30" t="s">
        <v>245</v>
      </c>
      <c r="AK69" s="30" t="s">
        <v>245</v>
      </c>
      <c r="AL69" s="30" t="s">
        <v>245</v>
      </c>
      <c r="AM69" s="30" t="s">
        <v>245</v>
      </c>
      <c r="AN69" s="30" t="s">
        <v>245</v>
      </c>
      <c r="AO69" s="30" t="s">
        <v>285</v>
      </c>
      <c r="AP69" s="30" t="s">
        <v>370</v>
      </c>
      <c r="AQ69" s="30" t="s">
        <v>245</v>
      </c>
      <c r="AR69" s="30" t="s">
        <v>245</v>
      </c>
      <c r="AS69" s="30" t="s">
        <v>245</v>
      </c>
      <c r="AT69" s="30" t="s">
        <v>245</v>
      </c>
      <c r="AU69" s="30">
        <v>1983</v>
      </c>
      <c r="AV69" s="30">
        <v>15</v>
      </c>
      <c r="AW69" s="30">
        <v>6</v>
      </c>
      <c r="AX69" s="30" t="s">
        <v>245</v>
      </c>
      <c r="AY69" s="30" t="s">
        <v>245</v>
      </c>
      <c r="AZ69" s="30" t="s">
        <v>245</v>
      </c>
      <c r="BA69" s="30" t="s">
        <v>245</v>
      </c>
      <c r="BB69" s="30">
        <v>693</v>
      </c>
      <c r="BC69" s="30">
        <v>697</v>
      </c>
      <c r="BD69" s="30" t="s">
        <v>245</v>
      </c>
      <c r="BE69" s="30" t="s">
        <v>830</v>
      </c>
      <c r="BF69" s="30" t="str">
        <f>HYPERLINK("http://dx.doi.org/10.1016/0038-0717(83)90034-2","http://dx.doi.org/10.1016/0038-0717(83)90034-2")</f>
        <v>http://dx.doi.org/10.1016/0038-0717(83)90034-2</v>
      </c>
      <c r="BG69" s="30" t="s">
        <v>245</v>
      </c>
      <c r="BH69" s="30" t="s">
        <v>245</v>
      </c>
      <c r="BI69" s="30" t="s">
        <v>245</v>
      </c>
      <c r="BJ69" s="30" t="s">
        <v>245</v>
      </c>
      <c r="BK69" s="30" t="s">
        <v>245</v>
      </c>
      <c r="BL69" s="30" t="s">
        <v>245</v>
      </c>
      <c r="BM69" s="30" t="s">
        <v>245</v>
      </c>
      <c r="BN69" s="30" t="s">
        <v>245</v>
      </c>
      <c r="BO69" s="30" t="s">
        <v>245</v>
      </c>
      <c r="BP69" s="30" t="s">
        <v>245</v>
      </c>
      <c r="BQ69" s="30" t="s">
        <v>245</v>
      </c>
      <c r="BR69" s="30" t="s">
        <v>245</v>
      </c>
      <c r="BS69" s="30" t="s">
        <v>831</v>
      </c>
      <c r="BT69" s="30" t="str">
        <f>HYPERLINK("https%3A%2F%2Fwww.webofscience.com%2Fwos%2Fwoscc%2Ffull-record%2FWOS:A1983RV57000010","View Full Record in Web of Science")</f>
        <v>View Full Record in Web of Science</v>
      </c>
    </row>
    <row r="70" spans="1:72" x14ac:dyDescent="0.2">
      <c r="A70" s="30" t="s">
        <v>243</v>
      </c>
      <c r="B70" s="30" t="s">
        <v>832</v>
      </c>
      <c r="C70" s="30" t="s">
        <v>245</v>
      </c>
      <c r="D70" s="30" t="s">
        <v>245</v>
      </c>
      <c r="E70" s="30" t="s">
        <v>245</v>
      </c>
      <c r="F70" s="30" t="s">
        <v>833</v>
      </c>
      <c r="G70" s="30" t="s">
        <v>245</v>
      </c>
      <c r="H70" s="30" t="s">
        <v>245</v>
      </c>
      <c r="I70" s="30" t="s">
        <v>834</v>
      </c>
      <c r="J70" s="30" t="s">
        <v>292</v>
      </c>
      <c r="K70" s="30" t="s">
        <v>245</v>
      </c>
      <c r="L70" s="30" t="s">
        <v>245</v>
      </c>
      <c r="M70" s="30" t="s">
        <v>245</v>
      </c>
      <c r="N70" s="30" t="s">
        <v>245</v>
      </c>
      <c r="O70" s="30" t="s">
        <v>245</v>
      </c>
      <c r="P70" s="30" t="s">
        <v>245</v>
      </c>
      <c r="Q70" s="30" t="s">
        <v>245</v>
      </c>
      <c r="R70" s="30" t="s">
        <v>245</v>
      </c>
      <c r="S70" s="30" t="s">
        <v>245</v>
      </c>
      <c r="T70" s="30" t="s">
        <v>245</v>
      </c>
      <c r="U70" s="30" t="s">
        <v>245</v>
      </c>
      <c r="V70" s="30" t="s">
        <v>245</v>
      </c>
      <c r="W70" s="30" t="s">
        <v>245</v>
      </c>
      <c r="X70" s="30" t="s">
        <v>245</v>
      </c>
      <c r="Y70" s="30" t="s">
        <v>245</v>
      </c>
      <c r="Z70" s="30" t="s">
        <v>245</v>
      </c>
      <c r="AA70" s="30" t="s">
        <v>835</v>
      </c>
      <c r="AB70" s="30" t="s">
        <v>836</v>
      </c>
      <c r="AC70" s="30" t="s">
        <v>245</v>
      </c>
      <c r="AD70" s="30" t="s">
        <v>245</v>
      </c>
      <c r="AE70" s="30" t="s">
        <v>245</v>
      </c>
      <c r="AF70" s="30" t="s">
        <v>245</v>
      </c>
      <c r="AG70" s="30" t="s">
        <v>245</v>
      </c>
      <c r="AH70" s="30" t="s">
        <v>245</v>
      </c>
      <c r="AI70" s="30" t="s">
        <v>245</v>
      </c>
      <c r="AJ70" s="30" t="s">
        <v>245</v>
      </c>
      <c r="AK70" s="30" t="s">
        <v>245</v>
      </c>
      <c r="AL70" s="30" t="s">
        <v>245</v>
      </c>
      <c r="AM70" s="30" t="s">
        <v>245</v>
      </c>
      <c r="AN70" s="30" t="s">
        <v>245</v>
      </c>
      <c r="AO70" s="30" t="s">
        <v>295</v>
      </c>
      <c r="AP70" s="30" t="s">
        <v>245</v>
      </c>
      <c r="AQ70" s="30" t="s">
        <v>245</v>
      </c>
      <c r="AR70" s="30" t="s">
        <v>245</v>
      </c>
      <c r="AS70" s="30" t="s">
        <v>245</v>
      </c>
      <c r="AT70" s="30" t="s">
        <v>354</v>
      </c>
      <c r="AU70" s="30">
        <v>2011</v>
      </c>
      <c r="AV70" s="30">
        <v>21</v>
      </c>
      <c r="AW70" s="30">
        <v>2</v>
      </c>
      <c r="AX70" s="30" t="s">
        <v>245</v>
      </c>
      <c r="AY70" s="30" t="s">
        <v>245</v>
      </c>
      <c r="AZ70" s="30" t="s">
        <v>245</v>
      </c>
      <c r="BA70" s="30" t="s">
        <v>245</v>
      </c>
      <c r="BB70" s="30">
        <v>197</v>
      </c>
      <c r="BC70" s="30">
        <v>206</v>
      </c>
      <c r="BD70" s="30" t="s">
        <v>245</v>
      </c>
      <c r="BE70" s="30" t="s">
        <v>837</v>
      </c>
      <c r="BF70" s="30" t="str">
        <f>HYPERLINK("http://dx.doi.org/10.1016/S1002-0160(11)60118-5","http://dx.doi.org/10.1016/S1002-0160(11)60118-5")</f>
        <v>http://dx.doi.org/10.1016/S1002-0160(11)60118-5</v>
      </c>
      <c r="BG70" s="30" t="s">
        <v>245</v>
      </c>
      <c r="BH70" s="30" t="s">
        <v>245</v>
      </c>
      <c r="BI70" s="30" t="s">
        <v>245</v>
      </c>
      <c r="BJ70" s="30" t="s">
        <v>245</v>
      </c>
      <c r="BK70" s="30" t="s">
        <v>245</v>
      </c>
      <c r="BL70" s="30" t="s">
        <v>245</v>
      </c>
      <c r="BM70" s="30" t="s">
        <v>245</v>
      </c>
      <c r="BN70" s="30" t="s">
        <v>245</v>
      </c>
      <c r="BO70" s="30" t="s">
        <v>245</v>
      </c>
      <c r="BP70" s="30" t="s">
        <v>245</v>
      </c>
      <c r="BQ70" s="30" t="s">
        <v>245</v>
      </c>
      <c r="BR70" s="30" t="s">
        <v>245</v>
      </c>
      <c r="BS70" s="30" t="s">
        <v>838</v>
      </c>
      <c r="BT70" s="30" t="str">
        <f>HYPERLINK("https%3A%2F%2Fwww.webofscience.com%2Fwos%2Fwoscc%2Ffull-record%2FWOS:000288777700008","View Full Record in Web of Science")</f>
        <v>View Full Record in Web of Science</v>
      </c>
    </row>
    <row r="71" spans="1:72" x14ac:dyDescent="0.2">
      <c r="A71" s="30" t="s">
        <v>243</v>
      </c>
      <c r="B71" s="30" t="s">
        <v>839</v>
      </c>
      <c r="C71" s="30" t="s">
        <v>245</v>
      </c>
      <c r="D71" s="30" t="s">
        <v>245</v>
      </c>
      <c r="E71" s="30" t="s">
        <v>245</v>
      </c>
      <c r="F71" s="30" t="s">
        <v>839</v>
      </c>
      <c r="G71" s="30" t="s">
        <v>245</v>
      </c>
      <c r="H71" s="30" t="s">
        <v>245</v>
      </c>
      <c r="I71" s="30" t="s">
        <v>840</v>
      </c>
      <c r="J71" s="30" t="s">
        <v>493</v>
      </c>
      <c r="K71" s="30" t="s">
        <v>245</v>
      </c>
      <c r="L71" s="30" t="s">
        <v>245</v>
      </c>
      <c r="M71" s="30" t="s">
        <v>245</v>
      </c>
      <c r="N71" s="30" t="s">
        <v>245</v>
      </c>
      <c r="O71" s="30" t="s">
        <v>245</v>
      </c>
      <c r="P71" s="30" t="s">
        <v>245</v>
      </c>
      <c r="Q71" s="30" t="s">
        <v>245</v>
      </c>
      <c r="R71" s="30" t="s">
        <v>245</v>
      </c>
      <c r="S71" s="30" t="s">
        <v>245</v>
      </c>
      <c r="T71" s="30" t="s">
        <v>245</v>
      </c>
      <c r="U71" s="30" t="s">
        <v>245</v>
      </c>
      <c r="V71" s="30" t="s">
        <v>245</v>
      </c>
      <c r="W71" s="30" t="s">
        <v>245</v>
      </c>
      <c r="X71" s="30" t="s">
        <v>245</v>
      </c>
      <c r="Y71" s="30" t="s">
        <v>245</v>
      </c>
      <c r="Z71" s="30" t="s">
        <v>245</v>
      </c>
      <c r="AA71" s="30" t="s">
        <v>245</v>
      </c>
      <c r="AB71" s="30" t="s">
        <v>245</v>
      </c>
      <c r="AC71" s="30" t="s">
        <v>245</v>
      </c>
      <c r="AD71" s="30" t="s">
        <v>245</v>
      </c>
      <c r="AE71" s="30" t="s">
        <v>245</v>
      </c>
      <c r="AF71" s="30" t="s">
        <v>245</v>
      </c>
      <c r="AG71" s="30" t="s">
        <v>245</v>
      </c>
      <c r="AH71" s="30" t="s">
        <v>245</v>
      </c>
      <c r="AI71" s="30" t="s">
        <v>245</v>
      </c>
      <c r="AJ71" s="30" t="s">
        <v>245</v>
      </c>
      <c r="AK71" s="30" t="s">
        <v>245</v>
      </c>
      <c r="AL71" s="30" t="s">
        <v>245</v>
      </c>
      <c r="AM71" s="30" t="s">
        <v>245</v>
      </c>
      <c r="AN71" s="30" t="s">
        <v>245</v>
      </c>
      <c r="AO71" s="30" t="s">
        <v>494</v>
      </c>
      <c r="AP71" s="30" t="s">
        <v>245</v>
      </c>
      <c r="AQ71" s="30" t="s">
        <v>245</v>
      </c>
      <c r="AR71" s="30" t="s">
        <v>245</v>
      </c>
      <c r="AS71" s="30" t="s">
        <v>245</v>
      </c>
      <c r="AT71" s="30" t="s">
        <v>841</v>
      </c>
      <c r="AU71" s="30">
        <v>1997</v>
      </c>
      <c r="AV71" s="30">
        <v>61</v>
      </c>
      <c r="AW71" s="30">
        <v>3</v>
      </c>
      <c r="AX71" s="30" t="s">
        <v>245</v>
      </c>
      <c r="AY71" s="30" t="s">
        <v>245</v>
      </c>
      <c r="AZ71" s="30" t="s">
        <v>245</v>
      </c>
      <c r="BA71" s="30" t="s">
        <v>245</v>
      </c>
      <c r="BB71" s="30">
        <v>981</v>
      </c>
      <c r="BC71" s="30">
        <v>987</v>
      </c>
      <c r="BD71" s="30" t="s">
        <v>245</v>
      </c>
      <c r="BE71" s="30" t="s">
        <v>842</v>
      </c>
      <c r="BF71" s="30" t="str">
        <f>HYPERLINK("http://dx.doi.org/10.2136/sssaj1997.03615995006100030038x","http://dx.doi.org/10.2136/sssaj1997.03615995006100030038x")</f>
        <v>http://dx.doi.org/10.2136/sssaj1997.03615995006100030038x</v>
      </c>
      <c r="BG71" s="30" t="s">
        <v>245</v>
      </c>
      <c r="BH71" s="30" t="s">
        <v>245</v>
      </c>
      <c r="BI71" s="30" t="s">
        <v>245</v>
      </c>
      <c r="BJ71" s="30" t="s">
        <v>245</v>
      </c>
      <c r="BK71" s="30" t="s">
        <v>245</v>
      </c>
      <c r="BL71" s="30" t="s">
        <v>245</v>
      </c>
      <c r="BM71" s="30" t="s">
        <v>245</v>
      </c>
      <c r="BN71" s="30" t="s">
        <v>245</v>
      </c>
      <c r="BO71" s="30" t="s">
        <v>245</v>
      </c>
      <c r="BP71" s="30" t="s">
        <v>245</v>
      </c>
      <c r="BQ71" s="30" t="s">
        <v>245</v>
      </c>
      <c r="BR71" s="30" t="s">
        <v>245</v>
      </c>
      <c r="BS71" s="30" t="s">
        <v>843</v>
      </c>
      <c r="BT71" s="30" t="str">
        <f>HYPERLINK("https%3A%2F%2Fwww.webofscience.com%2Fwos%2Fwoscc%2Ffull-record%2FWOS:A1997XC99600038","View Full Record in Web of Science")</f>
        <v>View Full Record in Web of Science</v>
      </c>
    </row>
    <row r="72" spans="1:72" x14ac:dyDescent="0.2">
      <c r="A72" s="30" t="s">
        <v>243</v>
      </c>
      <c r="B72" s="30" t="s">
        <v>844</v>
      </c>
      <c r="C72" s="30" t="s">
        <v>245</v>
      </c>
      <c r="D72" s="30" t="s">
        <v>245</v>
      </c>
      <c r="E72" s="30" t="s">
        <v>245</v>
      </c>
      <c r="F72" s="30" t="s">
        <v>845</v>
      </c>
      <c r="G72" s="30" t="s">
        <v>245</v>
      </c>
      <c r="H72" s="30" t="s">
        <v>245</v>
      </c>
      <c r="I72" s="30" t="s">
        <v>846</v>
      </c>
      <c r="J72" s="30" t="s">
        <v>304</v>
      </c>
      <c r="K72" s="30" t="s">
        <v>245</v>
      </c>
      <c r="L72" s="30" t="s">
        <v>245</v>
      </c>
      <c r="M72" s="30" t="s">
        <v>245</v>
      </c>
      <c r="N72" s="30" t="s">
        <v>245</v>
      </c>
      <c r="O72" s="30" t="s">
        <v>245</v>
      </c>
      <c r="P72" s="30" t="s">
        <v>245</v>
      </c>
      <c r="Q72" s="30" t="s">
        <v>245</v>
      </c>
      <c r="R72" s="30" t="s">
        <v>245</v>
      </c>
      <c r="S72" s="30" t="s">
        <v>245</v>
      </c>
      <c r="T72" s="30" t="s">
        <v>245</v>
      </c>
      <c r="U72" s="30" t="s">
        <v>245</v>
      </c>
      <c r="V72" s="30" t="s">
        <v>245</v>
      </c>
      <c r="W72" s="30" t="s">
        <v>245</v>
      </c>
      <c r="X72" s="30" t="s">
        <v>245</v>
      </c>
      <c r="Y72" s="30" t="s">
        <v>245</v>
      </c>
      <c r="Z72" s="30" t="s">
        <v>245</v>
      </c>
      <c r="AA72" s="30" t="s">
        <v>847</v>
      </c>
      <c r="AB72" s="30" t="s">
        <v>848</v>
      </c>
      <c r="AC72" s="30" t="s">
        <v>245</v>
      </c>
      <c r="AD72" s="30" t="s">
        <v>245</v>
      </c>
      <c r="AE72" s="30" t="s">
        <v>245</v>
      </c>
      <c r="AF72" s="30" t="s">
        <v>245</v>
      </c>
      <c r="AG72" s="30" t="s">
        <v>245</v>
      </c>
      <c r="AH72" s="30" t="s">
        <v>245</v>
      </c>
      <c r="AI72" s="30" t="s">
        <v>245</v>
      </c>
      <c r="AJ72" s="30" t="s">
        <v>245</v>
      </c>
      <c r="AK72" s="30" t="s">
        <v>245</v>
      </c>
      <c r="AL72" s="30" t="s">
        <v>245</v>
      </c>
      <c r="AM72" s="30" t="s">
        <v>245</v>
      </c>
      <c r="AN72" s="30" t="s">
        <v>245</v>
      </c>
      <c r="AO72" s="30" t="s">
        <v>307</v>
      </c>
      <c r="AP72" s="30" t="s">
        <v>245</v>
      </c>
      <c r="AQ72" s="30" t="s">
        <v>245</v>
      </c>
      <c r="AR72" s="30" t="s">
        <v>245</v>
      </c>
      <c r="AS72" s="30" t="s">
        <v>245</v>
      </c>
      <c r="AT72" s="30" t="s">
        <v>535</v>
      </c>
      <c r="AU72" s="30">
        <v>2008</v>
      </c>
      <c r="AV72" s="30">
        <v>54</v>
      </c>
      <c r="AW72" s="30">
        <v>4</v>
      </c>
      <c r="AX72" s="30" t="s">
        <v>245</v>
      </c>
      <c r="AY72" s="30" t="s">
        <v>245</v>
      </c>
      <c r="AZ72" s="30" t="s">
        <v>245</v>
      </c>
      <c r="BA72" s="30" t="s">
        <v>245</v>
      </c>
      <c r="BB72" s="30">
        <v>606</v>
      </c>
      <c r="BC72" s="30">
        <v>617</v>
      </c>
      <c r="BD72" s="30" t="s">
        <v>245</v>
      </c>
      <c r="BE72" s="30" t="s">
        <v>849</v>
      </c>
      <c r="BF72" s="30" t="str">
        <f>HYPERLINK("http://dx.doi.org/10.1111/j.1747-0765.2008.00270.x","http://dx.doi.org/10.1111/j.1747-0765.2008.00270.x")</f>
        <v>http://dx.doi.org/10.1111/j.1747-0765.2008.00270.x</v>
      </c>
      <c r="BG72" s="30" t="s">
        <v>245</v>
      </c>
      <c r="BH72" s="30" t="s">
        <v>245</v>
      </c>
      <c r="BI72" s="30" t="s">
        <v>245</v>
      </c>
      <c r="BJ72" s="30" t="s">
        <v>245</v>
      </c>
      <c r="BK72" s="30" t="s">
        <v>245</v>
      </c>
      <c r="BL72" s="30" t="s">
        <v>245</v>
      </c>
      <c r="BM72" s="30" t="s">
        <v>245</v>
      </c>
      <c r="BN72" s="30" t="s">
        <v>245</v>
      </c>
      <c r="BO72" s="30" t="s">
        <v>245</v>
      </c>
      <c r="BP72" s="30" t="s">
        <v>245</v>
      </c>
      <c r="BQ72" s="30" t="s">
        <v>245</v>
      </c>
      <c r="BR72" s="30" t="s">
        <v>245</v>
      </c>
      <c r="BS72" s="30" t="s">
        <v>850</v>
      </c>
      <c r="BT72" s="30" t="str">
        <f>HYPERLINK("https%3A%2F%2Fwww.webofscience.com%2Fwos%2Fwoscc%2Ffull-record%2FWOS:000258430400015","View Full Record in Web of Science")</f>
        <v>View Full Record in Web of Science</v>
      </c>
    </row>
    <row r="73" spans="1:72" x14ac:dyDescent="0.2">
      <c r="A73" s="30" t="s">
        <v>851</v>
      </c>
      <c r="B73" s="30" t="s">
        <v>852</v>
      </c>
      <c r="C73" s="30" t="s">
        <v>245</v>
      </c>
      <c r="D73" s="30" t="s">
        <v>853</v>
      </c>
      <c r="E73" s="30" t="s">
        <v>245</v>
      </c>
      <c r="F73" s="30" t="s">
        <v>852</v>
      </c>
      <c r="G73" s="30" t="s">
        <v>245</v>
      </c>
      <c r="H73" s="30" t="s">
        <v>245</v>
      </c>
      <c r="I73" s="30" t="s">
        <v>854</v>
      </c>
      <c r="J73" s="30" t="s">
        <v>855</v>
      </c>
      <c r="K73" s="30" t="s">
        <v>245</v>
      </c>
      <c r="L73" s="30" t="s">
        <v>245</v>
      </c>
      <c r="M73" s="30" t="s">
        <v>245</v>
      </c>
      <c r="N73" s="30" t="s">
        <v>245</v>
      </c>
      <c r="O73" s="30" t="s">
        <v>856</v>
      </c>
      <c r="P73" s="30" t="s">
        <v>857</v>
      </c>
      <c r="Q73" s="30" t="s">
        <v>858</v>
      </c>
      <c r="R73" s="30" t="s">
        <v>859</v>
      </c>
      <c r="S73" s="30" t="s">
        <v>245</v>
      </c>
      <c r="T73" s="30" t="s">
        <v>245</v>
      </c>
      <c r="U73" s="30" t="s">
        <v>245</v>
      </c>
      <c r="V73" s="30" t="s">
        <v>245</v>
      </c>
      <c r="W73" s="30" t="s">
        <v>245</v>
      </c>
      <c r="X73" s="30" t="s">
        <v>245</v>
      </c>
      <c r="Y73" s="30" t="s">
        <v>245</v>
      </c>
      <c r="Z73" s="30" t="s">
        <v>245</v>
      </c>
      <c r="AA73" s="30" t="s">
        <v>860</v>
      </c>
      <c r="AB73" s="30" t="s">
        <v>861</v>
      </c>
      <c r="AC73" s="30" t="s">
        <v>245</v>
      </c>
      <c r="AD73" s="30" t="s">
        <v>245</v>
      </c>
      <c r="AE73" s="30" t="s">
        <v>245</v>
      </c>
      <c r="AF73" s="30" t="s">
        <v>245</v>
      </c>
      <c r="AG73" s="30" t="s">
        <v>245</v>
      </c>
      <c r="AH73" s="30" t="s">
        <v>245</v>
      </c>
      <c r="AI73" s="30" t="s">
        <v>245</v>
      </c>
      <c r="AJ73" s="30" t="s">
        <v>245</v>
      </c>
      <c r="AK73" s="30" t="s">
        <v>245</v>
      </c>
      <c r="AL73" s="30" t="s">
        <v>245</v>
      </c>
      <c r="AM73" s="30" t="s">
        <v>245</v>
      </c>
      <c r="AN73" s="30" t="s">
        <v>245</v>
      </c>
      <c r="AO73" s="30" t="s">
        <v>245</v>
      </c>
      <c r="AP73" s="30" t="s">
        <v>245</v>
      </c>
      <c r="AQ73" s="30" t="s">
        <v>862</v>
      </c>
      <c r="AR73" s="30" t="s">
        <v>245</v>
      </c>
      <c r="AS73" s="30" t="s">
        <v>245</v>
      </c>
      <c r="AT73" s="30" t="s">
        <v>245</v>
      </c>
      <c r="AU73" s="30">
        <v>2002</v>
      </c>
      <c r="AV73" s="30" t="s">
        <v>245</v>
      </c>
      <c r="AW73" s="30" t="s">
        <v>245</v>
      </c>
      <c r="AX73" s="30" t="s">
        <v>245</v>
      </c>
      <c r="AY73" s="30" t="s">
        <v>245</v>
      </c>
      <c r="AZ73" s="30" t="s">
        <v>245</v>
      </c>
      <c r="BA73" s="30" t="s">
        <v>245</v>
      </c>
      <c r="BB73" s="30">
        <v>147</v>
      </c>
      <c r="BC73" s="30">
        <v>148</v>
      </c>
      <c r="BD73" s="30" t="s">
        <v>245</v>
      </c>
      <c r="BE73" s="30" t="s">
        <v>245</v>
      </c>
      <c r="BF73" s="30" t="s">
        <v>245</v>
      </c>
      <c r="BG73" s="30" t="s">
        <v>245</v>
      </c>
      <c r="BH73" s="30" t="s">
        <v>245</v>
      </c>
      <c r="BI73" s="30" t="s">
        <v>245</v>
      </c>
      <c r="BJ73" s="30" t="s">
        <v>245</v>
      </c>
      <c r="BK73" s="30" t="s">
        <v>245</v>
      </c>
      <c r="BL73" s="30" t="s">
        <v>245</v>
      </c>
      <c r="BM73" s="30" t="s">
        <v>245</v>
      </c>
      <c r="BN73" s="30" t="s">
        <v>245</v>
      </c>
      <c r="BO73" s="30" t="s">
        <v>245</v>
      </c>
      <c r="BP73" s="30" t="s">
        <v>245</v>
      </c>
      <c r="BQ73" s="30" t="s">
        <v>245</v>
      </c>
      <c r="BR73" s="30" t="s">
        <v>245</v>
      </c>
      <c r="BS73" s="30" t="s">
        <v>863</v>
      </c>
      <c r="BT73" s="30" t="str">
        <f>HYPERLINK("https%3A%2F%2Fwww.webofscience.com%2Fwos%2Fwoscc%2Ffull-record%2FWOS:000181977700037","View Full Record in Web of Science")</f>
        <v>View Full Record in Web of Science</v>
      </c>
    </row>
    <row r="74" spans="1:72" x14ac:dyDescent="0.2">
      <c r="A74" s="30" t="s">
        <v>243</v>
      </c>
      <c r="B74" s="30" t="s">
        <v>864</v>
      </c>
      <c r="C74" s="30" t="s">
        <v>245</v>
      </c>
      <c r="D74" s="30" t="s">
        <v>245</v>
      </c>
      <c r="E74" s="30" t="s">
        <v>245</v>
      </c>
      <c r="F74" s="30" t="s">
        <v>865</v>
      </c>
      <c r="G74" s="30" t="s">
        <v>245</v>
      </c>
      <c r="H74" s="30" t="s">
        <v>245</v>
      </c>
      <c r="I74" s="30" t="s">
        <v>866</v>
      </c>
      <c r="J74" s="30" t="s">
        <v>867</v>
      </c>
      <c r="K74" s="30" t="s">
        <v>245</v>
      </c>
      <c r="L74" s="30" t="s">
        <v>245</v>
      </c>
      <c r="M74" s="30" t="s">
        <v>245</v>
      </c>
      <c r="N74" s="30" t="s">
        <v>245</v>
      </c>
      <c r="O74" s="30" t="s">
        <v>245</v>
      </c>
      <c r="P74" s="30" t="s">
        <v>245</v>
      </c>
      <c r="Q74" s="30" t="s">
        <v>245</v>
      </c>
      <c r="R74" s="30" t="s">
        <v>245</v>
      </c>
      <c r="S74" s="30" t="s">
        <v>245</v>
      </c>
      <c r="T74" s="30" t="s">
        <v>245</v>
      </c>
      <c r="U74" s="30" t="s">
        <v>245</v>
      </c>
      <c r="V74" s="30" t="s">
        <v>245</v>
      </c>
      <c r="W74" s="30" t="s">
        <v>245</v>
      </c>
      <c r="X74" s="30" t="s">
        <v>245</v>
      </c>
      <c r="Y74" s="30" t="s">
        <v>245</v>
      </c>
      <c r="Z74" s="30" t="s">
        <v>245</v>
      </c>
      <c r="AA74" s="30" t="s">
        <v>245</v>
      </c>
      <c r="AB74" s="30" t="s">
        <v>245</v>
      </c>
      <c r="AC74" s="30" t="s">
        <v>245</v>
      </c>
      <c r="AD74" s="30" t="s">
        <v>245</v>
      </c>
      <c r="AE74" s="30" t="s">
        <v>245</v>
      </c>
      <c r="AF74" s="30" t="s">
        <v>245</v>
      </c>
      <c r="AG74" s="30" t="s">
        <v>245</v>
      </c>
      <c r="AH74" s="30" t="s">
        <v>245</v>
      </c>
      <c r="AI74" s="30" t="s">
        <v>245</v>
      </c>
      <c r="AJ74" s="30" t="s">
        <v>245</v>
      </c>
      <c r="AK74" s="30" t="s">
        <v>245</v>
      </c>
      <c r="AL74" s="30" t="s">
        <v>245</v>
      </c>
      <c r="AM74" s="30" t="s">
        <v>245</v>
      </c>
      <c r="AN74" s="30" t="s">
        <v>245</v>
      </c>
      <c r="AO74" s="30" t="s">
        <v>868</v>
      </c>
      <c r="AP74" s="30" t="s">
        <v>869</v>
      </c>
      <c r="AQ74" s="30" t="s">
        <v>245</v>
      </c>
      <c r="AR74" s="30" t="s">
        <v>245</v>
      </c>
      <c r="AS74" s="30" t="s">
        <v>245</v>
      </c>
      <c r="AT74" s="30" t="s">
        <v>245</v>
      </c>
      <c r="AU74" s="30">
        <v>2018</v>
      </c>
      <c r="AV74" s="30">
        <v>20</v>
      </c>
      <c r="AW74" s="30">
        <v>2</v>
      </c>
      <c r="AX74" s="30" t="s">
        <v>245</v>
      </c>
      <c r="AY74" s="30" t="s">
        <v>245</v>
      </c>
      <c r="AZ74" s="30" t="s">
        <v>245</v>
      </c>
      <c r="BA74" s="30" t="s">
        <v>245</v>
      </c>
      <c r="BB74" s="30">
        <v>249</v>
      </c>
      <c r="BC74" s="30">
        <v>254</v>
      </c>
      <c r="BD74" s="30" t="s">
        <v>245</v>
      </c>
      <c r="BE74" s="30" t="s">
        <v>870</v>
      </c>
      <c r="BF74" s="30" t="str">
        <f>HYPERLINK("http://dx.doi.org/10.17957/IJAB/15.0484","http://dx.doi.org/10.17957/IJAB/15.0484")</f>
        <v>http://dx.doi.org/10.17957/IJAB/15.0484</v>
      </c>
      <c r="BG74" s="30" t="s">
        <v>245</v>
      </c>
      <c r="BH74" s="30" t="s">
        <v>245</v>
      </c>
      <c r="BI74" s="30" t="s">
        <v>245</v>
      </c>
      <c r="BJ74" s="30" t="s">
        <v>245</v>
      </c>
      <c r="BK74" s="30" t="s">
        <v>245</v>
      </c>
      <c r="BL74" s="30" t="s">
        <v>245</v>
      </c>
      <c r="BM74" s="30" t="s">
        <v>245</v>
      </c>
      <c r="BN74" s="30" t="s">
        <v>245</v>
      </c>
      <c r="BO74" s="30" t="s">
        <v>245</v>
      </c>
      <c r="BP74" s="30" t="s">
        <v>245</v>
      </c>
      <c r="BQ74" s="30" t="s">
        <v>245</v>
      </c>
      <c r="BR74" s="30" t="s">
        <v>245</v>
      </c>
      <c r="BS74" s="30" t="s">
        <v>871</v>
      </c>
      <c r="BT74" s="30" t="str">
        <f>HYPERLINK("https%3A%2F%2Fwww.webofscience.com%2Fwos%2Fwoscc%2Ffull-record%2FWOS:000426044300005","View Full Record in Web of Science")</f>
        <v>View Full Record in Web of Science</v>
      </c>
    </row>
    <row r="75" spans="1:72" x14ac:dyDescent="0.2">
      <c r="A75" s="30" t="s">
        <v>243</v>
      </c>
      <c r="B75" s="30" t="s">
        <v>872</v>
      </c>
      <c r="C75" s="30" t="s">
        <v>245</v>
      </c>
      <c r="D75" s="30" t="s">
        <v>245</v>
      </c>
      <c r="E75" s="30" t="s">
        <v>245</v>
      </c>
      <c r="F75" s="30" t="s">
        <v>873</v>
      </c>
      <c r="G75" s="30" t="s">
        <v>245</v>
      </c>
      <c r="H75" s="30" t="s">
        <v>245</v>
      </c>
      <c r="I75" s="30" t="s">
        <v>874</v>
      </c>
      <c r="J75" s="30" t="s">
        <v>875</v>
      </c>
      <c r="K75" s="30" t="s">
        <v>245</v>
      </c>
      <c r="L75" s="30" t="s">
        <v>245</v>
      </c>
      <c r="M75" s="30" t="s">
        <v>245</v>
      </c>
      <c r="N75" s="30" t="s">
        <v>245</v>
      </c>
      <c r="O75" s="30" t="s">
        <v>245</v>
      </c>
      <c r="P75" s="30" t="s">
        <v>245</v>
      </c>
      <c r="Q75" s="30" t="s">
        <v>245</v>
      </c>
      <c r="R75" s="30" t="s">
        <v>245</v>
      </c>
      <c r="S75" s="30" t="s">
        <v>245</v>
      </c>
      <c r="T75" s="30" t="s">
        <v>245</v>
      </c>
      <c r="U75" s="30" t="s">
        <v>245</v>
      </c>
      <c r="V75" s="30" t="s">
        <v>245</v>
      </c>
      <c r="W75" s="30" t="s">
        <v>245</v>
      </c>
      <c r="X75" s="30" t="s">
        <v>245</v>
      </c>
      <c r="Y75" s="30" t="s">
        <v>245</v>
      </c>
      <c r="Z75" s="30" t="s">
        <v>245</v>
      </c>
      <c r="AA75" s="30" t="s">
        <v>876</v>
      </c>
      <c r="AB75" s="30" t="s">
        <v>877</v>
      </c>
      <c r="AC75" s="30" t="s">
        <v>245</v>
      </c>
      <c r="AD75" s="30" t="s">
        <v>245</v>
      </c>
      <c r="AE75" s="30" t="s">
        <v>245</v>
      </c>
      <c r="AF75" s="30" t="s">
        <v>245</v>
      </c>
      <c r="AG75" s="30" t="s">
        <v>245</v>
      </c>
      <c r="AH75" s="30" t="s">
        <v>245</v>
      </c>
      <c r="AI75" s="30" t="s">
        <v>245</v>
      </c>
      <c r="AJ75" s="30" t="s">
        <v>245</v>
      </c>
      <c r="AK75" s="30" t="s">
        <v>245</v>
      </c>
      <c r="AL75" s="30" t="s">
        <v>245</v>
      </c>
      <c r="AM75" s="30" t="s">
        <v>245</v>
      </c>
      <c r="AN75" s="30" t="s">
        <v>245</v>
      </c>
      <c r="AO75" s="30" t="s">
        <v>878</v>
      </c>
      <c r="AP75" s="30" t="s">
        <v>245</v>
      </c>
      <c r="AQ75" s="30" t="s">
        <v>245</v>
      </c>
      <c r="AR75" s="30" t="s">
        <v>245</v>
      </c>
      <c r="AS75" s="30" t="s">
        <v>245</v>
      </c>
      <c r="AT75" s="30" t="s">
        <v>481</v>
      </c>
      <c r="AU75" s="30">
        <v>2006</v>
      </c>
      <c r="AV75" s="30">
        <v>58</v>
      </c>
      <c r="AW75" s="30">
        <v>3</v>
      </c>
      <c r="AX75" s="30" t="s">
        <v>245</v>
      </c>
      <c r="AY75" s="30" t="s">
        <v>245</v>
      </c>
      <c r="AZ75" s="30" t="s">
        <v>245</v>
      </c>
      <c r="BA75" s="30" t="s">
        <v>245</v>
      </c>
      <c r="BB75" s="30">
        <v>503</v>
      </c>
      <c r="BC75" s="30">
        <v>516</v>
      </c>
      <c r="BD75" s="30" t="s">
        <v>245</v>
      </c>
      <c r="BE75" s="30" t="s">
        <v>879</v>
      </c>
      <c r="BF75" s="30" t="str">
        <f>HYPERLINK("http://dx.doi.org/10.1111/j.1574-6941.2006.00175.x","http://dx.doi.org/10.1111/j.1574-6941.2006.00175.x")</f>
        <v>http://dx.doi.org/10.1111/j.1574-6941.2006.00175.x</v>
      </c>
      <c r="BG75" s="30" t="s">
        <v>245</v>
      </c>
      <c r="BH75" s="30" t="s">
        <v>245</v>
      </c>
      <c r="BI75" s="30" t="s">
        <v>245</v>
      </c>
      <c r="BJ75" s="30" t="s">
        <v>245</v>
      </c>
      <c r="BK75" s="30" t="s">
        <v>245</v>
      </c>
      <c r="BL75" s="30" t="s">
        <v>245</v>
      </c>
      <c r="BM75" s="30" t="s">
        <v>245</v>
      </c>
      <c r="BN75" s="30">
        <v>17117992</v>
      </c>
      <c r="BO75" s="30" t="s">
        <v>245</v>
      </c>
      <c r="BP75" s="30" t="s">
        <v>245</v>
      </c>
      <c r="BQ75" s="30" t="s">
        <v>245</v>
      </c>
      <c r="BR75" s="30" t="s">
        <v>245</v>
      </c>
      <c r="BS75" s="30" t="s">
        <v>880</v>
      </c>
      <c r="BT75" s="30" t="str">
        <f>HYPERLINK("https%3A%2F%2Fwww.webofscience.com%2Fwos%2Fwoscc%2Ffull-record%2FWOS:000242016000018","View Full Record in Web of Science")</f>
        <v>View Full Record in Web of Science</v>
      </c>
    </row>
    <row r="76" spans="1:72" x14ac:dyDescent="0.2">
      <c r="A76" s="30" t="s">
        <v>243</v>
      </c>
      <c r="B76" s="30" t="s">
        <v>881</v>
      </c>
      <c r="C76" s="30" t="s">
        <v>245</v>
      </c>
      <c r="D76" s="30" t="s">
        <v>245</v>
      </c>
      <c r="E76" s="30" t="s">
        <v>245</v>
      </c>
      <c r="F76" s="30" t="s">
        <v>882</v>
      </c>
      <c r="G76" s="30" t="s">
        <v>245</v>
      </c>
      <c r="H76" s="30" t="s">
        <v>245</v>
      </c>
      <c r="I76" s="30" t="s">
        <v>883</v>
      </c>
      <c r="J76" s="30" t="s">
        <v>632</v>
      </c>
      <c r="K76" s="30" t="s">
        <v>245</v>
      </c>
      <c r="L76" s="30" t="s">
        <v>245</v>
      </c>
      <c r="M76" s="30" t="s">
        <v>245</v>
      </c>
      <c r="N76" s="30" t="s">
        <v>245</v>
      </c>
      <c r="O76" s="30" t="s">
        <v>245</v>
      </c>
      <c r="P76" s="30" t="s">
        <v>245</v>
      </c>
      <c r="Q76" s="30" t="s">
        <v>245</v>
      </c>
      <c r="R76" s="30" t="s">
        <v>245</v>
      </c>
      <c r="S76" s="30" t="s">
        <v>245</v>
      </c>
      <c r="T76" s="30" t="s">
        <v>245</v>
      </c>
      <c r="U76" s="30" t="s">
        <v>245</v>
      </c>
      <c r="V76" s="30" t="s">
        <v>245</v>
      </c>
      <c r="W76" s="30" t="s">
        <v>245</v>
      </c>
      <c r="X76" s="30" t="s">
        <v>245</v>
      </c>
      <c r="Y76" s="30" t="s">
        <v>245</v>
      </c>
      <c r="Z76" s="30" t="s">
        <v>245</v>
      </c>
      <c r="AA76" s="30" t="s">
        <v>884</v>
      </c>
      <c r="AB76" s="30" t="s">
        <v>885</v>
      </c>
      <c r="AC76" s="30" t="s">
        <v>245</v>
      </c>
      <c r="AD76" s="30" t="s">
        <v>245</v>
      </c>
      <c r="AE76" s="30" t="s">
        <v>245</v>
      </c>
      <c r="AF76" s="30" t="s">
        <v>245</v>
      </c>
      <c r="AG76" s="30" t="s">
        <v>245</v>
      </c>
      <c r="AH76" s="30" t="s">
        <v>245</v>
      </c>
      <c r="AI76" s="30" t="s">
        <v>245</v>
      </c>
      <c r="AJ76" s="30" t="s">
        <v>245</v>
      </c>
      <c r="AK76" s="30" t="s">
        <v>245</v>
      </c>
      <c r="AL76" s="30" t="s">
        <v>245</v>
      </c>
      <c r="AM76" s="30" t="s">
        <v>245</v>
      </c>
      <c r="AN76" s="30" t="s">
        <v>245</v>
      </c>
      <c r="AO76" s="30" t="s">
        <v>633</v>
      </c>
      <c r="AP76" s="30" t="s">
        <v>634</v>
      </c>
      <c r="AQ76" s="30" t="s">
        <v>245</v>
      </c>
      <c r="AR76" s="30" t="s">
        <v>245</v>
      </c>
      <c r="AS76" s="30" t="s">
        <v>245</v>
      </c>
      <c r="AT76" s="30" t="s">
        <v>435</v>
      </c>
      <c r="AU76" s="30">
        <v>2024</v>
      </c>
      <c r="AV76" s="30">
        <v>359</v>
      </c>
      <c r="AW76" s="30" t="s">
        <v>245</v>
      </c>
      <c r="AX76" s="30" t="s">
        <v>245</v>
      </c>
      <c r="AY76" s="30" t="s">
        <v>245</v>
      </c>
      <c r="AZ76" s="30" t="s">
        <v>245</v>
      </c>
      <c r="BA76" s="30" t="s">
        <v>245</v>
      </c>
      <c r="BB76" s="30" t="s">
        <v>245</v>
      </c>
      <c r="BC76" s="30" t="s">
        <v>245</v>
      </c>
      <c r="BD76" s="30">
        <v>120969</v>
      </c>
      <c r="BE76" s="30" t="s">
        <v>886</v>
      </c>
      <c r="BF76" s="30" t="str">
        <f>HYPERLINK("http://dx.doi.org/10.1016/j.jenvman.2024.120969","http://dx.doi.org/10.1016/j.jenvman.2024.120969")</f>
        <v>http://dx.doi.org/10.1016/j.jenvman.2024.120969</v>
      </c>
      <c r="BG76" s="30" t="s">
        <v>245</v>
      </c>
      <c r="BH76" s="30" t="s">
        <v>887</v>
      </c>
      <c r="BI76" s="30" t="s">
        <v>245</v>
      </c>
      <c r="BJ76" s="30" t="s">
        <v>245</v>
      </c>
      <c r="BK76" s="30" t="s">
        <v>245</v>
      </c>
      <c r="BL76" s="30" t="s">
        <v>245</v>
      </c>
      <c r="BM76" s="30" t="s">
        <v>245</v>
      </c>
      <c r="BN76" s="30">
        <v>38678900</v>
      </c>
      <c r="BO76" s="30" t="s">
        <v>245</v>
      </c>
      <c r="BP76" s="30" t="s">
        <v>245</v>
      </c>
      <c r="BQ76" s="30" t="s">
        <v>245</v>
      </c>
      <c r="BR76" s="30" t="s">
        <v>245</v>
      </c>
      <c r="BS76" s="30" t="s">
        <v>888</v>
      </c>
      <c r="BT76" s="30" t="str">
        <f>HYPERLINK("https%3A%2F%2Fwww.webofscience.com%2Fwos%2Fwoscc%2Ffull-record%2FWOS:001235362300001","View Full Record in Web of Science")</f>
        <v>View Full Record in Web of Science</v>
      </c>
    </row>
    <row r="77" spans="1:72" x14ac:dyDescent="0.2">
      <c r="A77" s="30" t="s">
        <v>243</v>
      </c>
      <c r="B77" s="30" t="s">
        <v>889</v>
      </c>
      <c r="C77" s="30" t="s">
        <v>245</v>
      </c>
      <c r="D77" s="30" t="s">
        <v>245</v>
      </c>
      <c r="E77" s="30" t="s">
        <v>245</v>
      </c>
      <c r="F77" s="30" t="s">
        <v>890</v>
      </c>
      <c r="G77" s="30" t="s">
        <v>245</v>
      </c>
      <c r="H77" s="30" t="s">
        <v>245</v>
      </c>
      <c r="I77" s="30" t="s">
        <v>891</v>
      </c>
      <c r="J77" s="30" t="s">
        <v>892</v>
      </c>
      <c r="K77" s="30" t="s">
        <v>245</v>
      </c>
      <c r="L77" s="30" t="s">
        <v>245</v>
      </c>
      <c r="M77" s="30" t="s">
        <v>245</v>
      </c>
      <c r="N77" s="30" t="s">
        <v>245</v>
      </c>
      <c r="O77" s="30" t="s">
        <v>893</v>
      </c>
      <c r="P77" s="30" t="s">
        <v>894</v>
      </c>
      <c r="Q77" s="30" t="s">
        <v>895</v>
      </c>
      <c r="R77" s="30" t="s">
        <v>896</v>
      </c>
      <c r="S77" s="30" t="s">
        <v>245</v>
      </c>
      <c r="T77" s="30" t="s">
        <v>245</v>
      </c>
      <c r="U77" s="30" t="s">
        <v>245</v>
      </c>
      <c r="V77" s="30" t="s">
        <v>245</v>
      </c>
      <c r="W77" s="30" t="s">
        <v>245</v>
      </c>
      <c r="X77" s="30" t="s">
        <v>245</v>
      </c>
      <c r="Y77" s="30" t="s">
        <v>245</v>
      </c>
      <c r="Z77" s="30" t="s">
        <v>245</v>
      </c>
      <c r="AA77" s="30" t="s">
        <v>897</v>
      </c>
      <c r="AB77" s="30" t="s">
        <v>245</v>
      </c>
      <c r="AC77" s="30" t="s">
        <v>245</v>
      </c>
      <c r="AD77" s="30" t="s">
        <v>245</v>
      </c>
      <c r="AE77" s="30" t="s">
        <v>245</v>
      </c>
      <c r="AF77" s="30" t="s">
        <v>245</v>
      </c>
      <c r="AG77" s="30" t="s">
        <v>245</v>
      </c>
      <c r="AH77" s="30" t="s">
        <v>245</v>
      </c>
      <c r="AI77" s="30" t="s">
        <v>245</v>
      </c>
      <c r="AJ77" s="30" t="s">
        <v>245</v>
      </c>
      <c r="AK77" s="30" t="s">
        <v>245</v>
      </c>
      <c r="AL77" s="30" t="s">
        <v>245</v>
      </c>
      <c r="AM77" s="30" t="s">
        <v>245</v>
      </c>
      <c r="AN77" s="30" t="s">
        <v>245</v>
      </c>
      <c r="AO77" s="30" t="s">
        <v>898</v>
      </c>
      <c r="AP77" s="30" t="s">
        <v>899</v>
      </c>
      <c r="AQ77" s="30" t="s">
        <v>245</v>
      </c>
      <c r="AR77" s="30" t="s">
        <v>245</v>
      </c>
      <c r="AS77" s="30" t="s">
        <v>245</v>
      </c>
      <c r="AT77" s="30" t="s">
        <v>481</v>
      </c>
      <c r="AU77" s="30">
        <v>2016</v>
      </c>
      <c r="AV77" s="30">
        <v>164</v>
      </c>
      <c r="AW77" s="30" t="s">
        <v>245</v>
      </c>
      <c r="AX77" s="30" t="s">
        <v>245</v>
      </c>
      <c r="AY77" s="30" t="s">
        <v>245</v>
      </c>
      <c r="AZ77" s="30" t="s">
        <v>298</v>
      </c>
      <c r="BA77" s="30" t="s">
        <v>245</v>
      </c>
      <c r="BB77" s="30">
        <v>52</v>
      </c>
      <c r="BC77" s="30">
        <v>62</v>
      </c>
      <c r="BD77" s="30" t="s">
        <v>245</v>
      </c>
      <c r="BE77" s="30" t="s">
        <v>900</v>
      </c>
      <c r="BF77" s="30" t="str">
        <f>HYPERLINK("http://dx.doi.org/10.1016/j.still.2016.05.006","http://dx.doi.org/10.1016/j.still.2016.05.006")</f>
        <v>http://dx.doi.org/10.1016/j.still.2016.05.006</v>
      </c>
      <c r="BG77" s="30" t="s">
        <v>245</v>
      </c>
      <c r="BH77" s="30" t="s">
        <v>245</v>
      </c>
      <c r="BI77" s="30" t="s">
        <v>245</v>
      </c>
      <c r="BJ77" s="30" t="s">
        <v>245</v>
      </c>
      <c r="BK77" s="30" t="s">
        <v>245</v>
      </c>
      <c r="BL77" s="30" t="s">
        <v>245</v>
      </c>
      <c r="BM77" s="30" t="s">
        <v>245</v>
      </c>
      <c r="BN77" s="30" t="s">
        <v>245</v>
      </c>
      <c r="BO77" s="30" t="s">
        <v>245</v>
      </c>
      <c r="BP77" s="30" t="s">
        <v>245</v>
      </c>
      <c r="BQ77" s="30" t="s">
        <v>245</v>
      </c>
      <c r="BR77" s="30" t="s">
        <v>245</v>
      </c>
      <c r="BS77" s="30" t="s">
        <v>901</v>
      </c>
      <c r="BT77" s="30" t="str">
        <f>HYPERLINK("https%3A%2F%2Fwww.webofscience.com%2Fwos%2Fwoscc%2Ffull-record%2FWOS:000381834100008","View Full Record in Web of Science")</f>
        <v>View Full Record in Web of Science</v>
      </c>
    </row>
    <row r="78" spans="1:72" x14ac:dyDescent="0.2">
      <c r="A78" s="30" t="s">
        <v>243</v>
      </c>
      <c r="B78" s="30" t="s">
        <v>49</v>
      </c>
      <c r="C78" s="30" t="s">
        <v>245</v>
      </c>
      <c r="D78" s="30" t="s">
        <v>245</v>
      </c>
      <c r="E78" s="30" t="s">
        <v>245</v>
      </c>
      <c r="F78" s="30" t="s">
        <v>49</v>
      </c>
      <c r="G78" s="30" t="s">
        <v>245</v>
      </c>
      <c r="H78" s="30" t="s">
        <v>245</v>
      </c>
      <c r="I78" s="30" t="s">
        <v>48</v>
      </c>
      <c r="J78" s="30" t="s">
        <v>282</v>
      </c>
      <c r="K78" s="30" t="s">
        <v>245</v>
      </c>
      <c r="L78" s="30" t="s">
        <v>245</v>
      </c>
      <c r="M78" s="30" t="s">
        <v>245</v>
      </c>
      <c r="N78" s="30" t="s">
        <v>245</v>
      </c>
      <c r="O78" s="30" t="s">
        <v>245</v>
      </c>
      <c r="P78" s="30" t="s">
        <v>245</v>
      </c>
      <c r="Q78" s="30" t="s">
        <v>245</v>
      </c>
      <c r="R78" s="30" t="s">
        <v>245</v>
      </c>
      <c r="S78" s="30" t="s">
        <v>245</v>
      </c>
      <c r="T78" s="30" t="s">
        <v>245</v>
      </c>
      <c r="U78" s="30" t="s">
        <v>245</v>
      </c>
      <c r="V78" s="30" t="s">
        <v>245</v>
      </c>
      <c r="W78" s="30" t="s">
        <v>245</v>
      </c>
      <c r="X78" s="30" t="s">
        <v>245</v>
      </c>
      <c r="Y78" s="30" t="s">
        <v>245</v>
      </c>
      <c r="Z78" s="30" t="s">
        <v>245</v>
      </c>
      <c r="AA78" s="30" t="s">
        <v>245</v>
      </c>
      <c r="AB78" s="30" t="s">
        <v>245</v>
      </c>
      <c r="AC78" s="30" t="s">
        <v>245</v>
      </c>
      <c r="AD78" s="30" t="s">
        <v>245</v>
      </c>
      <c r="AE78" s="30" t="s">
        <v>245</v>
      </c>
      <c r="AF78" s="30" t="s">
        <v>245</v>
      </c>
      <c r="AG78" s="30" t="s">
        <v>245</v>
      </c>
      <c r="AH78" s="30" t="s">
        <v>245</v>
      </c>
      <c r="AI78" s="30" t="s">
        <v>245</v>
      </c>
      <c r="AJ78" s="30" t="s">
        <v>245</v>
      </c>
      <c r="AK78" s="30" t="s">
        <v>245</v>
      </c>
      <c r="AL78" s="30" t="s">
        <v>245</v>
      </c>
      <c r="AM78" s="30" t="s">
        <v>245</v>
      </c>
      <c r="AN78" s="30" t="s">
        <v>245</v>
      </c>
      <c r="AO78" s="30" t="s">
        <v>285</v>
      </c>
      <c r="AP78" s="30" t="s">
        <v>370</v>
      </c>
      <c r="AQ78" s="30" t="s">
        <v>245</v>
      </c>
      <c r="AR78" s="30" t="s">
        <v>245</v>
      </c>
      <c r="AS78" s="30" t="s">
        <v>245</v>
      </c>
      <c r="AT78" s="30" t="s">
        <v>481</v>
      </c>
      <c r="AU78" s="30">
        <v>1999</v>
      </c>
      <c r="AV78" s="30">
        <v>31</v>
      </c>
      <c r="AW78" s="30">
        <v>14</v>
      </c>
      <c r="AX78" s="30" t="s">
        <v>245</v>
      </c>
      <c r="AY78" s="30" t="s">
        <v>245</v>
      </c>
      <c r="AZ78" s="30" t="s">
        <v>245</v>
      </c>
      <c r="BA78" s="30" t="s">
        <v>245</v>
      </c>
      <c r="BB78" s="30">
        <v>1931</v>
      </c>
      <c r="BC78" s="30">
        <v>1941</v>
      </c>
      <c r="BD78" s="30" t="s">
        <v>245</v>
      </c>
      <c r="BE78" s="30" t="s">
        <v>902</v>
      </c>
      <c r="BF78" s="30" t="str">
        <f>HYPERLINK("http://dx.doi.org/10.1016/S0038-0717(99)00111-X","http://dx.doi.org/10.1016/S0038-0717(99)00111-X")</f>
        <v>http://dx.doi.org/10.1016/S0038-0717(99)00111-X</v>
      </c>
      <c r="BG78" s="30" t="s">
        <v>245</v>
      </c>
      <c r="BH78" s="30" t="s">
        <v>245</v>
      </c>
      <c r="BI78" s="30" t="s">
        <v>245</v>
      </c>
      <c r="BJ78" s="30" t="s">
        <v>245</v>
      </c>
      <c r="BK78" s="30" t="s">
        <v>245</v>
      </c>
      <c r="BL78" s="30" t="s">
        <v>245</v>
      </c>
      <c r="BM78" s="30" t="s">
        <v>245</v>
      </c>
      <c r="BN78" s="30" t="s">
        <v>245</v>
      </c>
      <c r="BO78" s="30" t="s">
        <v>245</v>
      </c>
      <c r="BP78" s="30" t="s">
        <v>245</v>
      </c>
      <c r="BQ78" s="30" t="s">
        <v>245</v>
      </c>
      <c r="BR78" s="30" t="s">
        <v>245</v>
      </c>
      <c r="BS78" s="30" t="s">
        <v>903</v>
      </c>
      <c r="BT78" s="30" t="str">
        <f>HYPERLINK("https%3A%2F%2Fwww.webofscience.com%2Fwos%2Fwoscc%2Ffull-record%2FWOS:000083246300003","View Full Record in Web of Science")</f>
        <v>View Full Record in Web of Science</v>
      </c>
    </row>
    <row r="79" spans="1:72" x14ac:dyDescent="0.2">
      <c r="A79" s="30" t="s">
        <v>243</v>
      </c>
      <c r="B79" s="30" t="s">
        <v>904</v>
      </c>
      <c r="C79" s="30" t="s">
        <v>245</v>
      </c>
      <c r="D79" s="30" t="s">
        <v>245</v>
      </c>
      <c r="E79" s="30" t="s">
        <v>245</v>
      </c>
      <c r="F79" s="30" t="s">
        <v>905</v>
      </c>
      <c r="G79" s="30" t="s">
        <v>245</v>
      </c>
      <c r="H79" s="30" t="s">
        <v>245</v>
      </c>
      <c r="I79" s="30" t="s">
        <v>52</v>
      </c>
      <c r="J79" s="30" t="s">
        <v>432</v>
      </c>
      <c r="K79" s="30" t="s">
        <v>245</v>
      </c>
      <c r="L79" s="30" t="s">
        <v>245</v>
      </c>
      <c r="M79" s="30" t="s">
        <v>245</v>
      </c>
      <c r="N79" s="30" t="s">
        <v>245</v>
      </c>
      <c r="O79" s="30" t="s">
        <v>245</v>
      </c>
      <c r="P79" s="30" t="s">
        <v>245</v>
      </c>
      <c r="Q79" s="30" t="s">
        <v>245</v>
      </c>
      <c r="R79" s="30" t="s">
        <v>245</v>
      </c>
      <c r="S79" s="30" t="s">
        <v>245</v>
      </c>
      <c r="T79" s="30" t="s">
        <v>245</v>
      </c>
      <c r="U79" s="30" t="s">
        <v>245</v>
      </c>
      <c r="V79" s="30" t="s">
        <v>245</v>
      </c>
      <c r="W79" s="30" t="s">
        <v>245</v>
      </c>
      <c r="X79" s="30" t="s">
        <v>245</v>
      </c>
      <c r="Y79" s="30" t="s">
        <v>245</v>
      </c>
      <c r="Z79" s="30" t="s">
        <v>245</v>
      </c>
      <c r="AA79" s="30" t="s">
        <v>906</v>
      </c>
      <c r="AB79" s="30" t="s">
        <v>907</v>
      </c>
      <c r="AC79" s="30" t="s">
        <v>245</v>
      </c>
      <c r="AD79" s="30" t="s">
        <v>245</v>
      </c>
      <c r="AE79" s="30" t="s">
        <v>245</v>
      </c>
      <c r="AF79" s="30" t="s">
        <v>245</v>
      </c>
      <c r="AG79" s="30" t="s">
        <v>245</v>
      </c>
      <c r="AH79" s="30" t="s">
        <v>245</v>
      </c>
      <c r="AI79" s="30" t="s">
        <v>245</v>
      </c>
      <c r="AJ79" s="30" t="s">
        <v>245</v>
      </c>
      <c r="AK79" s="30" t="s">
        <v>245</v>
      </c>
      <c r="AL79" s="30" t="s">
        <v>245</v>
      </c>
      <c r="AM79" s="30" t="s">
        <v>245</v>
      </c>
      <c r="AN79" s="30" t="s">
        <v>245</v>
      </c>
      <c r="AO79" s="30" t="s">
        <v>433</v>
      </c>
      <c r="AP79" s="30" t="s">
        <v>434</v>
      </c>
      <c r="AQ79" s="30" t="s">
        <v>245</v>
      </c>
      <c r="AR79" s="30" t="s">
        <v>245</v>
      </c>
      <c r="AS79" s="30" t="s">
        <v>245</v>
      </c>
      <c r="AT79" s="30" t="s">
        <v>265</v>
      </c>
      <c r="AU79" s="30">
        <v>2021</v>
      </c>
      <c r="AV79" s="30">
        <v>463</v>
      </c>
      <c r="AW79" s="30" t="s">
        <v>436</v>
      </c>
      <c r="AX79" s="30" t="s">
        <v>245</v>
      </c>
      <c r="AY79" s="30" t="s">
        <v>245</v>
      </c>
      <c r="AZ79" s="30" t="s">
        <v>245</v>
      </c>
      <c r="BA79" s="30" t="s">
        <v>245</v>
      </c>
      <c r="BB79" s="30">
        <v>615</v>
      </c>
      <c r="BC79" s="30">
        <v>630</v>
      </c>
      <c r="BD79" s="30" t="s">
        <v>245</v>
      </c>
      <c r="BE79" s="30" t="s">
        <v>908</v>
      </c>
      <c r="BF79" s="30" t="str">
        <f>HYPERLINK("http://dx.doi.org/10.1007/s11104-021-04938-5","http://dx.doi.org/10.1007/s11104-021-04938-5")</f>
        <v>http://dx.doi.org/10.1007/s11104-021-04938-5</v>
      </c>
      <c r="BG79" s="30" t="s">
        <v>245</v>
      </c>
      <c r="BH79" s="30" t="s">
        <v>397</v>
      </c>
      <c r="BI79" s="30" t="s">
        <v>245</v>
      </c>
      <c r="BJ79" s="30" t="s">
        <v>245</v>
      </c>
      <c r="BK79" s="30" t="s">
        <v>245</v>
      </c>
      <c r="BL79" s="30" t="s">
        <v>245</v>
      </c>
      <c r="BM79" s="30" t="s">
        <v>245</v>
      </c>
      <c r="BN79" s="30" t="s">
        <v>245</v>
      </c>
      <c r="BO79" s="30" t="s">
        <v>245</v>
      </c>
      <c r="BP79" s="30" t="s">
        <v>245</v>
      </c>
      <c r="BQ79" s="30" t="s">
        <v>245</v>
      </c>
      <c r="BR79" s="30" t="s">
        <v>245</v>
      </c>
      <c r="BS79" s="30" t="s">
        <v>909</v>
      </c>
      <c r="BT79" s="30" t="str">
        <f>HYPERLINK("https%3A%2F%2Fwww.webofscience.com%2Fwos%2Fwoscc%2Ffull-record%2FWOS:000637453800001","View Full Record in Web of Science")</f>
        <v>View Full Record in Web of Science</v>
      </c>
    </row>
    <row r="80" spans="1:72" x14ac:dyDescent="0.2">
      <c r="A80" s="30" t="s">
        <v>243</v>
      </c>
      <c r="B80" s="30" t="s">
        <v>910</v>
      </c>
      <c r="C80" s="30" t="s">
        <v>245</v>
      </c>
      <c r="D80" s="30" t="s">
        <v>245</v>
      </c>
      <c r="E80" s="30" t="s">
        <v>245</v>
      </c>
      <c r="F80" s="30" t="s">
        <v>911</v>
      </c>
      <c r="G80" s="30" t="s">
        <v>245</v>
      </c>
      <c r="H80" s="30" t="s">
        <v>245</v>
      </c>
      <c r="I80" s="30" t="s">
        <v>912</v>
      </c>
      <c r="J80" s="30" t="s">
        <v>541</v>
      </c>
      <c r="K80" s="30" t="s">
        <v>245</v>
      </c>
      <c r="L80" s="30" t="s">
        <v>245</v>
      </c>
      <c r="M80" s="30" t="s">
        <v>245</v>
      </c>
      <c r="N80" s="30" t="s">
        <v>245</v>
      </c>
      <c r="O80" s="30" t="s">
        <v>245</v>
      </c>
      <c r="P80" s="30" t="s">
        <v>245</v>
      </c>
      <c r="Q80" s="30" t="s">
        <v>245</v>
      </c>
      <c r="R80" s="30" t="s">
        <v>245</v>
      </c>
      <c r="S80" s="30" t="s">
        <v>245</v>
      </c>
      <c r="T80" s="30" t="s">
        <v>245</v>
      </c>
      <c r="U80" s="30" t="s">
        <v>245</v>
      </c>
      <c r="V80" s="30" t="s">
        <v>245</v>
      </c>
      <c r="W80" s="30" t="s">
        <v>245</v>
      </c>
      <c r="X80" s="30" t="s">
        <v>245</v>
      </c>
      <c r="Y80" s="30" t="s">
        <v>245</v>
      </c>
      <c r="Z80" s="30" t="s">
        <v>245</v>
      </c>
      <c r="AA80" s="30" t="s">
        <v>913</v>
      </c>
      <c r="AB80" s="30" t="s">
        <v>914</v>
      </c>
      <c r="AC80" s="30" t="s">
        <v>245</v>
      </c>
      <c r="AD80" s="30" t="s">
        <v>245</v>
      </c>
      <c r="AE80" s="30" t="s">
        <v>245</v>
      </c>
      <c r="AF80" s="30" t="s">
        <v>245</v>
      </c>
      <c r="AG80" s="30" t="s">
        <v>245</v>
      </c>
      <c r="AH80" s="30" t="s">
        <v>245</v>
      </c>
      <c r="AI80" s="30" t="s">
        <v>245</v>
      </c>
      <c r="AJ80" s="30" t="s">
        <v>245</v>
      </c>
      <c r="AK80" s="30" t="s">
        <v>245</v>
      </c>
      <c r="AL80" s="30" t="s">
        <v>245</v>
      </c>
      <c r="AM80" s="30" t="s">
        <v>245</v>
      </c>
      <c r="AN80" s="30" t="s">
        <v>245</v>
      </c>
      <c r="AO80" s="30" t="s">
        <v>544</v>
      </c>
      <c r="AP80" s="30" t="s">
        <v>545</v>
      </c>
      <c r="AQ80" s="30" t="s">
        <v>245</v>
      </c>
      <c r="AR80" s="30" t="s">
        <v>245</v>
      </c>
      <c r="AS80" s="30" t="s">
        <v>245</v>
      </c>
      <c r="AT80" s="30" t="s">
        <v>915</v>
      </c>
      <c r="AU80" s="30">
        <v>2011</v>
      </c>
      <c r="AV80" s="30">
        <v>140</v>
      </c>
      <c r="AW80" s="30" t="s">
        <v>436</v>
      </c>
      <c r="AX80" s="30" t="s">
        <v>245</v>
      </c>
      <c r="AY80" s="30" t="s">
        <v>245</v>
      </c>
      <c r="AZ80" s="30" t="s">
        <v>245</v>
      </c>
      <c r="BA80" s="30" t="s">
        <v>245</v>
      </c>
      <c r="BB80" s="30">
        <v>113</v>
      </c>
      <c r="BC80" s="30">
        <v>122</v>
      </c>
      <c r="BD80" s="30" t="s">
        <v>245</v>
      </c>
      <c r="BE80" s="30" t="s">
        <v>916</v>
      </c>
      <c r="BF80" s="30" t="str">
        <f>HYPERLINK("http://dx.doi.org/10.1016/j.agee.2010.11.018","http://dx.doi.org/10.1016/j.agee.2010.11.018")</f>
        <v>http://dx.doi.org/10.1016/j.agee.2010.11.018</v>
      </c>
      <c r="BG80" s="30" t="s">
        <v>245</v>
      </c>
      <c r="BH80" s="30" t="s">
        <v>245</v>
      </c>
      <c r="BI80" s="30" t="s">
        <v>245</v>
      </c>
      <c r="BJ80" s="30" t="s">
        <v>245</v>
      </c>
      <c r="BK80" s="30" t="s">
        <v>245</v>
      </c>
      <c r="BL80" s="30" t="s">
        <v>245</v>
      </c>
      <c r="BM80" s="30" t="s">
        <v>245</v>
      </c>
      <c r="BN80" s="30" t="s">
        <v>245</v>
      </c>
      <c r="BO80" s="30" t="s">
        <v>245</v>
      </c>
      <c r="BP80" s="30" t="s">
        <v>245</v>
      </c>
      <c r="BQ80" s="30" t="s">
        <v>245</v>
      </c>
      <c r="BR80" s="30" t="s">
        <v>245</v>
      </c>
      <c r="BS80" s="30" t="s">
        <v>917</v>
      </c>
      <c r="BT80" s="30" t="str">
        <f>HYPERLINK("https%3A%2F%2Fwww.webofscience.com%2Fwos%2Fwoscc%2Ffull-record%2FWOS:000287892400014","View Full Record in Web of Science")</f>
        <v>View Full Record in Web of Science</v>
      </c>
    </row>
    <row r="81" spans="1:72" x14ac:dyDescent="0.2">
      <c r="A81" s="30" t="s">
        <v>243</v>
      </c>
      <c r="B81" s="30" t="s">
        <v>918</v>
      </c>
      <c r="C81" s="30" t="s">
        <v>245</v>
      </c>
      <c r="D81" s="30" t="s">
        <v>245</v>
      </c>
      <c r="E81" s="30" t="s">
        <v>245</v>
      </c>
      <c r="F81" s="30" t="s">
        <v>918</v>
      </c>
      <c r="G81" s="30" t="s">
        <v>245</v>
      </c>
      <c r="H81" s="30" t="s">
        <v>245</v>
      </c>
      <c r="I81" s="30" t="s">
        <v>919</v>
      </c>
      <c r="J81" s="30" t="s">
        <v>758</v>
      </c>
      <c r="K81" s="30" t="s">
        <v>245</v>
      </c>
      <c r="L81" s="30" t="s">
        <v>245</v>
      </c>
      <c r="M81" s="30" t="s">
        <v>245</v>
      </c>
      <c r="N81" s="30" t="s">
        <v>245</v>
      </c>
      <c r="O81" s="30" t="s">
        <v>245</v>
      </c>
      <c r="P81" s="30" t="s">
        <v>245</v>
      </c>
      <c r="Q81" s="30" t="s">
        <v>245</v>
      </c>
      <c r="R81" s="30" t="s">
        <v>245</v>
      </c>
      <c r="S81" s="30" t="s">
        <v>245</v>
      </c>
      <c r="T81" s="30" t="s">
        <v>245</v>
      </c>
      <c r="U81" s="30" t="s">
        <v>245</v>
      </c>
      <c r="V81" s="30" t="s">
        <v>245</v>
      </c>
      <c r="W81" s="30" t="s">
        <v>245</v>
      </c>
      <c r="X81" s="30" t="s">
        <v>245</v>
      </c>
      <c r="Y81" s="30" t="s">
        <v>245</v>
      </c>
      <c r="Z81" s="30" t="s">
        <v>245</v>
      </c>
      <c r="AA81" s="30" t="s">
        <v>245</v>
      </c>
      <c r="AB81" s="30" t="s">
        <v>245</v>
      </c>
      <c r="AC81" s="30" t="s">
        <v>245</v>
      </c>
      <c r="AD81" s="30" t="s">
        <v>245</v>
      </c>
      <c r="AE81" s="30" t="s">
        <v>245</v>
      </c>
      <c r="AF81" s="30" t="s">
        <v>245</v>
      </c>
      <c r="AG81" s="30" t="s">
        <v>245</v>
      </c>
      <c r="AH81" s="30" t="s">
        <v>245</v>
      </c>
      <c r="AI81" s="30" t="s">
        <v>245</v>
      </c>
      <c r="AJ81" s="30" t="s">
        <v>245</v>
      </c>
      <c r="AK81" s="30" t="s">
        <v>245</v>
      </c>
      <c r="AL81" s="30" t="s">
        <v>245</v>
      </c>
      <c r="AM81" s="30" t="s">
        <v>245</v>
      </c>
      <c r="AN81" s="30" t="s">
        <v>245</v>
      </c>
      <c r="AO81" s="30" t="s">
        <v>759</v>
      </c>
      <c r="AP81" s="30" t="s">
        <v>822</v>
      </c>
      <c r="AQ81" s="30" t="s">
        <v>245</v>
      </c>
      <c r="AR81" s="30" t="s">
        <v>245</v>
      </c>
      <c r="AS81" s="30" t="s">
        <v>245</v>
      </c>
      <c r="AT81" s="30" t="s">
        <v>454</v>
      </c>
      <c r="AU81" s="30">
        <v>1997</v>
      </c>
      <c r="AV81" s="30">
        <v>25</v>
      </c>
      <c r="AW81" s="30">
        <v>3</v>
      </c>
      <c r="AX81" s="30" t="s">
        <v>245</v>
      </c>
      <c r="AY81" s="30" t="s">
        <v>245</v>
      </c>
      <c r="AZ81" s="30" t="s">
        <v>245</v>
      </c>
      <c r="BA81" s="30" t="s">
        <v>245</v>
      </c>
      <c r="BB81" s="30">
        <v>261</v>
      </c>
      <c r="BC81" s="30">
        <v>268</v>
      </c>
      <c r="BD81" s="30" t="s">
        <v>245</v>
      </c>
      <c r="BE81" s="30" t="s">
        <v>920</v>
      </c>
      <c r="BF81" s="30" t="str">
        <f>HYPERLINK("http://dx.doi.org/10.1007/s003740050312","http://dx.doi.org/10.1007/s003740050312")</f>
        <v>http://dx.doi.org/10.1007/s003740050312</v>
      </c>
      <c r="BG81" s="30" t="s">
        <v>245</v>
      </c>
      <c r="BH81" s="30" t="s">
        <v>245</v>
      </c>
      <c r="BI81" s="30" t="s">
        <v>245</v>
      </c>
      <c r="BJ81" s="30" t="s">
        <v>245</v>
      </c>
      <c r="BK81" s="30" t="s">
        <v>245</v>
      </c>
      <c r="BL81" s="30" t="s">
        <v>245</v>
      </c>
      <c r="BM81" s="30" t="s">
        <v>245</v>
      </c>
      <c r="BN81" s="30" t="s">
        <v>245</v>
      </c>
      <c r="BO81" s="30" t="s">
        <v>245</v>
      </c>
      <c r="BP81" s="30" t="s">
        <v>245</v>
      </c>
      <c r="BQ81" s="30" t="s">
        <v>245</v>
      </c>
      <c r="BR81" s="30" t="s">
        <v>245</v>
      </c>
      <c r="BS81" s="30" t="s">
        <v>921</v>
      </c>
      <c r="BT81" s="30" t="str">
        <f>HYPERLINK("https%3A%2F%2Fwww.webofscience.com%2Fwos%2Fwoscc%2Ffull-record%2FWOS:A1997XY71000007","View Full Record in Web of Science")</f>
        <v>View Full Record in Web of Science</v>
      </c>
    </row>
    <row r="82" spans="1:72" x14ac:dyDescent="0.2">
      <c r="A82" s="30" t="s">
        <v>243</v>
      </c>
      <c r="B82" s="30" t="s">
        <v>922</v>
      </c>
      <c r="C82" s="30" t="s">
        <v>245</v>
      </c>
      <c r="D82" s="30" t="s">
        <v>245</v>
      </c>
      <c r="E82" s="30" t="s">
        <v>245</v>
      </c>
      <c r="F82" s="30" t="s">
        <v>923</v>
      </c>
      <c r="G82" s="30" t="s">
        <v>245</v>
      </c>
      <c r="H82" s="30" t="s">
        <v>245</v>
      </c>
      <c r="I82" s="30" t="s">
        <v>924</v>
      </c>
      <c r="J82" s="30" t="s">
        <v>925</v>
      </c>
      <c r="K82" s="30" t="s">
        <v>245</v>
      </c>
      <c r="L82" s="30" t="s">
        <v>245</v>
      </c>
      <c r="M82" s="30" t="s">
        <v>245</v>
      </c>
      <c r="N82" s="30" t="s">
        <v>245</v>
      </c>
      <c r="O82" s="30" t="s">
        <v>245</v>
      </c>
      <c r="P82" s="30" t="s">
        <v>245</v>
      </c>
      <c r="Q82" s="30" t="s">
        <v>245</v>
      </c>
      <c r="R82" s="30" t="s">
        <v>245</v>
      </c>
      <c r="S82" s="30" t="s">
        <v>245</v>
      </c>
      <c r="T82" s="30" t="s">
        <v>245</v>
      </c>
      <c r="U82" s="30" t="s">
        <v>245</v>
      </c>
      <c r="V82" s="30" t="s">
        <v>245</v>
      </c>
      <c r="W82" s="30" t="s">
        <v>245</v>
      </c>
      <c r="X82" s="30" t="s">
        <v>245</v>
      </c>
      <c r="Y82" s="30" t="s">
        <v>245</v>
      </c>
      <c r="Z82" s="30" t="s">
        <v>245</v>
      </c>
      <c r="AA82" s="30" t="s">
        <v>245</v>
      </c>
      <c r="AB82" s="30" t="s">
        <v>245</v>
      </c>
      <c r="AC82" s="30" t="s">
        <v>245</v>
      </c>
      <c r="AD82" s="30" t="s">
        <v>245</v>
      </c>
      <c r="AE82" s="30" t="s">
        <v>245</v>
      </c>
      <c r="AF82" s="30" t="s">
        <v>245</v>
      </c>
      <c r="AG82" s="30" t="s">
        <v>245</v>
      </c>
      <c r="AH82" s="30" t="s">
        <v>245</v>
      </c>
      <c r="AI82" s="30" t="s">
        <v>245</v>
      </c>
      <c r="AJ82" s="30" t="s">
        <v>245</v>
      </c>
      <c r="AK82" s="30" t="s">
        <v>245</v>
      </c>
      <c r="AL82" s="30" t="s">
        <v>245</v>
      </c>
      <c r="AM82" s="30" t="s">
        <v>245</v>
      </c>
      <c r="AN82" s="30" t="s">
        <v>245</v>
      </c>
      <c r="AO82" s="30" t="s">
        <v>926</v>
      </c>
      <c r="AP82" s="30" t="s">
        <v>927</v>
      </c>
      <c r="AQ82" s="30" t="s">
        <v>245</v>
      </c>
      <c r="AR82" s="30" t="s">
        <v>245</v>
      </c>
      <c r="AS82" s="30" t="s">
        <v>245</v>
      </c>
      <c r="AT82" s="30" t="s">
        <v>265</v>
      </c>
      <c r="AU82" s="30">
        <v>2024</v>
      </c>
      <c r="AV82" s="30">
        <v>18</v>
      </c>
      <c r="AW82" s="30">
        <v>6</v>
      </c>
      <c r="AX82" s="30" t="s">
        <v>245</v>
      </c>
      <c r="AY82" s="30" t="s">
        <v>245</v>
      </c>
      <c r="AZ82" s="30" t="s">
        <v>245</v>
      </c>
      <c r="BA82" s="30" t="s">
        <v>245</v>
      </c>
      <c r="BB82" s="30" t="s">
        <v>245</v>
      </c>
      <c r="BC82" s="30" t="s">
        <v>245</v>
      </c>
      <c r="BD82" s="30">
        <v>77</v>
      </c>
      <c r="BE82" s="30" t="s">
        <v>928</v>
      </c>
      <c r="BF82" s="30" t="str">
        <f>HYPERLINK("http://dx.doi.org/10.1007/s11783-024-1837-4","http://dx.doi.org/10.1007/s11783-024-1837-4")</f>
        <v>http://dx.doi.org/10.1007/s11783-024-1837-4</v>
      </c>
      <c r="BG82" s="30" t="s">
        <v>245</v>
      </c>
      <c r="BH82" s="30" t="s">
        <v>245</v>
      </c>
      <c r="BI82" s="30" t="s">
        <v>245</v>
      </c>
      <c r="BJ82" s="30" t="s">
        <v>245</v>
      </c>
      <c r="BK82" s="30" t="s">
        <v>245</v>
      </c>
      <c r="BL82" s="30" t="s">
        <v>245</v>
      </c>
      <c r="BM82" s="30" t="s">
        <v>245</v>
      </c>
      <c r="BN82" s="30" t="s">
        <v>245</v>
      </c>
      <c r="BO82" s="30" t="s">
        <v>245</v>
      </c>
      <c r="BP82" s="30" t="s">
        <v>245</v>
      </c>
      <c r="BQ82" s="30" t="s">
        <v>245</v>
      </c>
      <c r="BR82" s="30" t="s">
        <v>245</v>
      </c>
      <c r="BS82" s="30" t="s">
        <v>929</v>
      </c>
      <c r="BT82" s="30" t="str">
        <f>HYPERLINK("https%3A%2F%2Fwww.webofscience.com%2Fwos%2Fwoscc%2Ffull-record%2FWOS:001236209300001","View Full Record in Web of Science")</f>
        <v>View Full Record in Web of Science</v>
      </c>
    </row>
    <row r="83" spans="1:72" x14ac:dyDescent="0.2">
      <c r="A83" s="30" t="s">
        <v>243</v>
      </c>
      <c r="B83" s="30" t="s">
        <v>930</v>
      </c>
      <c r="C83" s="30" t="s">
        <v>245</v>
      </c>
      <c r="D83" s="30" t="s">
        <v>245</v>
      </c>
      <c r="E83" s="30" t="s">
        <v>245</v>
      </c>
      <c r="F83" s="30" t="s">
        <v>931</v>
      </c>
      <c r="G83" s="30" t="s">
        <v>245</v>
      </c>
      <c r="H83" s="30" t="s">
        <v>245</v>
      </c>
      <c r="I83" s="30" t="s">
        <v>932</v>
      </c>
      <c r="J83" s="30" t="s">
        <v>933</v>
      </c>
      <c r="K83" s="30" t="s">
        <v>245</v>
      </c>
      <c r="L83" s="30" t="s">
        <v>245</v>
      </c>
      <c r="M83" s="30" t="s">
        <v>245</v>
      </c>
      <c r="N83" s="30" t="s">
        <v>245</v>
      </c>
      <c r="O83" s="30" t="s">
        <v>245</v>
      </c>
      <c r="P83" s="30" t="s">
        <v>245</v>
      </c>
      <c r="Q83" s="30" t="s">
        <v>245</v>
      </c>
      <c r="R83" s="30" t="s">
        <v>245</v>
      </c>
      <c r="S83" s="30" t="s">
        <v>245</v>
      </c>
      <c r="T83" s="30" t="s">
        <v>245</v>
      </c>
      <c r="U83" s="30" t="s">
        <v>245</v>
      </c>
      <c r="V83" s="30" t="s">
        <v>245</v>
      </c>
      <c r="W83" s="30" t="s">
        <v>245</v>
      </c>
      <c r="X83" s="30" t="s">
        <v>245</v>
      </c>
      <c r="Y83" s="30" t="s">
        <v>245</v>
      </c>
      <c r="Z83" s="30" t="s">
        <v>245</v>
      </c>
      <c r="AA83" s="30" t="s">
        <v>934</v>
      </c>
      <c r="AB83" s="30" t="s">
        <v>935</v>
      </c>
      <c r="AC83" s="30" t="s">
        <v>245</v>
      </c>
      <c r="AD83" s="30" t="s">
        <v>245</v>
      </c>
      <c r="AE83" s="30" t="s">
        <v>245</v>
      </c>
      <c r="AF83" s="30" t="s">
        <v>245</v>
      </c>
      <c r="AG83" s="30" t="s">
        <v>245</v>
      </c>
      <c r="AH83" s="30" t="s">
        <v>245</v>
      </c>
      <c r="AI83" s="30" t="s">
        <v>245</v>
      </c>
      <c r="AJ83" s="30" t="s">
        <v>245</v>
      </c>
      <c r="AK83" s="30" t="s">
        <v>245</v>
      </c>
      <c r="AL83" s="30" t="s">
        <v>245</v>
      </c>
      <c r="AM83" s="30" t="s">
        <v>245</v>
      </c>
      <c r="AN83" s="30" t="s">
        <v>245</v>
      </c>
      <c r="AO83" s="30" t="s">
        <v>936</v>
      </c>
      <c r="AP83" s="30" t="s">
        <v>937</v>
      </c>
      <c r="AQ83" s="30" t="s">
        <v>245</v>
      </c>
      <c r="AR83" s="30" t="s">
        <v>245</v>
      </c>
      <c r="AS83" s="30" t="s">
        <v>245</v>
      </c>
      <c r="AT83" s="30" t="s">
        <v>354</v>
      </c>
      <c r="AU83" s="30">
        <v>2025</v>
      </c>
      <c r="AV83" s="30">
        <v>315</v>
      </c>
      <c r="AW83" s="30" t="s">
        <v>245</v>
      </c>
      <c r="AX83" s="30" t="s">
        <v>245</v>
      </c>
      <c r="AY83" s="30" t="s">
        <v>245</v>
      </c>
      <c r="AZ83" s="30" t="s">
        <v>245</v>
      </c>
      <c r="BA83" s="30" t="s">
        <v>245</v>
      </c>
      <c r="BB83" s="30" t="s">
        <v>245</v>
      </c>
      <c r="BC83" s="30" t="s">
        <v>245</v>
      </c>
      <c r="BD83" s="30">
        <v>109124</v>
      </c>
      <c r="BE83" s="30" t="s">
        <v>938</v>
      </c>
      <c r="BF83" s="30" t="str">
        <f>HYPERLINK("http://dx.doi.org/10.1016/j.ecss.2025.109124","http://dx.doi.org/10.1016/j.ecss.2025.109124")</f>
        <v>http://dx.doi.org/10.1016/j.ecss.2025.109124</v>
      </c>
      <c r="BG83" s="30" t="s">
        <v>245</v>
      </c>
      <c r="BH83" s="30" t="s">
        <v>939</v>
      </c>
      <c r="BI83" s="30" t="s">
        <v>245</v>
      </c>
      <c r="BJ83" s="30" t="s">
        <v>245</v>
      </c>
      <c r="BK83" s="30" t="s">
        <v>245</v>
      </c>
      <c r="BL83" s="30" t="s">
        <v>245</v>
      </c>
      <c r="BM83" s="30" t="s">
        <v>245</v>
      </c>
      <c r="BN83" s="30" t="s">
        <v>245</v>
      </c>
      <c r="BO83" s="30" t="s">
        <v>245</v>
      </c>
      <c r="BP83" s="30" t="s">
        <v>245</v>
      </c>
      <c r="BQ83" s="30" t="s">
        <v>245</v>
      </c>
      <c r="BR83" s="30" t="s">
        <v>245</v>
      </c>
      <c r="BS83" s="30" t="s">
        <v>940</v>
      </c>
      <c r="BT83" s="30" t="str">
        <f>HYPERLINK("https%3A%2F%2Fwww.webofscience.com%2Fwos%2Fwoscc%2Ffull-record%2FWOS:001422879700001","View Full Record in Web of Science")</f>
        <v>View Full Record in Web of Science</v>
      </c>
    </row>
    <row r="84" spans="1:72" x14ac:dyDescent="0.2">
      <c r="A84" s="30" t="s">
        <v>243</v>
      </c>
      <c r="B84" s="30" t="s">
        <v>941</v>
      </c>
      <c r="C84" s="30" t="s">
        <v>245</v>
      </c>
      <c r="D84" s="30" t="s">
        <v>245</v>
      </c>
      <c r="E84" s="30" t="s">
        <v>245</v>
      </c>
      <c r="F84" s="30" t="s">
        <v>942</v>
      </c>
      <c r="G84" s="30" t="s">
        <v>245</v>
      </c>
      <c r="H84" s="30" t="s">
        <v>245</v>
      </c>
      <c r="I84" s="30" t="s">
        <v>943</v>
      </c>
      <c r="J84" s="30" t="s">
        <v>944</v>
      </c>
      <c r="K84" s="30" t="s">
        <v>245</v>
      </c>
      <c r="L84" s="30" t="s">
        <v>245</v>
      </c>
      <c r="M84" s="30" t="s">
        <v>245</v>
      </c>
      <c r="N84" s="30" t="s">
        <v>245</v>
      </c>
      <c r="O84" s="30" t="s">
        <v>245</v>
      </c>
      <c r="P84" s="30" t="s">
        <v>245</v>
      </c>
      <c r="Q84" s="30" t="s">
        <v>245</v>
      </c>
      <c r="R84" s="30" t="s">
        <v>245</v>
      </c>
      <c r="S84" s="30" t="s">
        <v>245</v>
      </c>
      <c r="T84" s="30" t="s">
        <v>245</v>
      </c>
      <c r="U84" s="30" t="s">
        <v>245</v>
      </c>
      <c r="V84" s="30" t="s">
        <v>245</v>
      </c>
      <c r="W84" s="30" t="s">
        <v>245</v>
      </c>
      <c r="X84" s="30" t="s">
        <v>245</v>
      </c>
      <c r="Y84" s="30" t="s">
        <v>245</v>
      </c>
      <c r="Z84" s="30" t="s">
        <v>245</v>
      </c>
      <c r="AA84" s="30" t="s">
        <v>945</v>
      </c>
      <c r="AB84" s="30" t="s">
        <v>946</v>
      </c>
      <c r="AC84" s="30" t="s">
        <v>245</v>
      </c>
      <c r="AD84" s="30" t="s">
        <v>245</v>
      </c>
      <c r="AE84" s="30" t="s">
        <v>245</v>
      </c>
      <c r="AF84" s="30" t="s">
        <v>245</v>
      </c>
      <c r="AG84" s="30" t="s">
        <v>245</v>
      </c>
      <c r="AH84" s="30" t="s">
        <v>245</v>
      </c>
      <c r="AI84" s="30" t="s">
        <v>245</v>
      </c>
      <c r="AJ84" s="30" t="s">
        <v>245</v>
      </c>
      <c r="AK84" s="30" t="s">
        <v>245</v>
      </c>
      <c r="AL84" s="30" t="s">
        <v>245</v>
      </c>
      <c r="AM84" s="30" t="s">
        <v>245</v>
      </c>
      <c r="AN84" s="30" t="s">
        <v>245</v>
      </c>
      <c r="AO84" s="30" t="s">
        <v>245</v>
      </c>
      <c r="AP84" s="30" t="s">
        <v>947</v>
      </c>
      <c r="AQ84" s="30" t="s">
        <v>245</v>
      </c>
      <c r="AR84" s="30" t="s">
        <v>245</v>
      </c>
      <c r="AS84" s="30" t="s">
        <v>245</v>
      </c>
      <c r="AT84" s="30" t="s">
        <v>297</v>
      </c>
      <c r="AU84" s="30">
        <v>2022</v>
      </c>
      <c r="AV84" s="30">
        <v>14</v>
      </c>
      <c r="AW84" s="30">
        <v>19</v>
      </c>
      <c r="AX84" s="30" t="s">
        <v>245</v>
      </c>
      <c r="AY84" s="30" t="s">
        <v>245</v>
      </c>
      <c r="AZ84" s="30" t="s">
        <v>245</v>
      </c>
      <c r="BA84" s="30" t="s">
        <v>245</v>
      </c>
      <c r="BB84" s="30" t="s">
        <v>245</v>
      </c>
      <c r="BC84" s="30" t="s">
        <v>245</v>
      </c>
      <c r="BD84" s="30">
        <v>11876</v>
      </c>
      <c r="BE84" s="30" t="s">
        <v>948</v>
      </c>
      <c r="BF84" s="30" t="str">
        <f>HYPERLINK("http://dx.doi.org/10.3390/su141911876","http://dx.doi.org/10.3390/su141911876")</f>
        <v>http://dx.doi.org/10.3390/su141911876</v>
      </c>
      <c r="BG84" s="30" t="s">
        <v>245</v>
      </c>
      <c r="BH84" s="30" t="s">
        <v>245</v>
      </c>
      <c r="BI84" s="30" t="s">
        <v>245</v>
      </c>
      <c r="BJ84" s="30" t="s">
        <v>245</v>
      </c>
      <c r="BK84" s="30" t="s">
        <v>245</v>
      </c>
      <c r="BL84" s="30" t="s">
        <v>245</v>
      </c>
      <c r="BM84" s="30" t="s">
        <v>245</v>
      </c>
      <c r="BN84" s="30" t="s">
        <v>245</v>
      </c>
      <c r="BO84" s="30" t="s">
        <v>245</v>
      </c>
      <c r="BP84" s="30" t="s">
        <v>245</v>
      </c>
      <c r="BQ84" s="30" t="s">
        <v>245</v>
      </c>
      <c r="BR84" s="30" t="s">
        <v>245</v>
      </c>
      <c r="BS84" s="30" t="s">
        <v>949</v>
      </c>
      <c r="BT84" s="30" t="str">
        <f>HYPERLINK("https%3A%2F%2Fwww.webofscience.com%2Fwos%2Fwoscc%2Ffull-record%2FWOS:000867344700001","View Full Record in Web of Science")</f>
        <v>View Full Record in Web of Science</v>
      </c>
    </row>
    <row r="85" spans="1:72" x14ac:dyDescent="0.2">
      <c r="A85" s="30" t="s">
        <v>243</v>
      </c>
      <c r="B85" s="30" t="s">
        <v>950</v>
      </c>
      <c r="C85" s="30" t="s">
        <v>245</v>
      </c>
      <c r="D85" s="30" t="s">
        <v>245</v>
      </c>
      <c r="E85" s="30" t="s">
        <v>245</v>
      </c>
      <c r="F85" s="30" t="s">
        <v>951</v>
      </c>
      <c r="G85" s="30" t="s">
        <v>245</v>
      </c>
      <c r="H85" s="30" t="s">
        <v>245</v>
      </c>
      <c r="I85" s="30" t="s">
        <v>100</v>
      </c>
      <c r="J85" s="30" t="s">
        <v>952</v>
      </c>
      <c r="K85" s="30" t="s">
        <v>245</v>
      </c>
      <c r="L85" s="30" t="s">
        <v>245</v>
      </c>
      <c r="M85" s="30" t="s">
        <v>245</v>
      </c>
      <c r="N85" s="30" t="s">
        <v>245</v>
      </c>
      <c r="O85" s="30" t="s">
        <v>245</v>
      </c>
      <c r="P85" s="30" t="s">
        <v>245</v>
      </c>
      <c r="Q85" s="30" t="s">
        <v>245</v>
      </c>
      <c r="R85" s="30" t="s">
        <v>245</v>
      </c>
      <c r="S85" s="30" t="s">
        <v>245</v>
      </c>
      <c r="T85" s="30" t="s">
        <v>245</v>
      </c>
      <c r="U85" s="30" t="s">
        <v>245</v>
      </c>
      <c r="V85" s="30" t="s">
        <v>245</v>
      </c>
      <c r="W85" s="30" t="s">
        <v>245</v>
      </c>
      <c r="X85" s="30" t="s">
        <v>245</v>
      </c>
      <c r="Y85" s="30" t="s">
        <v>245</v>
      </c>
      <c r="Z85" s="30" t="s">
        <v>245</v>
      </c>
      <c r="AA85" s="30" t="s">
        <v>953</v>
      </c>
      <c r="AB85" s="30" t="s">
        <v>954</v>
      </c>
      <c r="AC85" s="30" t="s">
        <v>245</v>
      </c>
      <c r="AD85" s="30" t="s">
        <v>245</v>
      </c>
      <c r="AE85" s="30" t="s">
        <v>245</v>
      </c>
      <c r="AF85" s="30" t="s">
        <v>245</v>
      </c>
      <c r="AG85" s="30" t="s">
        <v>245</v>
      </c>
      <c r="AH85" s="30" t="s">
        <v>245</v>
      </c>
      <c r="AI85" s="30" t="s">
        <v>245</v>
      </c>
      <c r="AJ85" s="30" t="s">
        <v>245</v>
      </c>
      <c r="AK85" s="30" t="s">
        <v>245</v>
      </c>
      <c r="AL85" s="30" t="s">
        <v>245</v>
      </c>
      <c r="AM85" s="30" t="s">
        <v>245</v>
      </c>
      <c r="AN85" s="30" t="s">
        <v>245</v>
      </c>
      <c r="AO85" s="30" t="s">
        <v>955</v>
      </c>
      <c r="AP85" s="30" t="s">
        <v>956</v>
      </c>
      <c r="AQ85" s="30" t="s">
        <v>245</v>
      </c>
      <c r="AR85" s="30" t="s">
        <v>245</v>
      </c>
      <c r="AS85" s="30" t="s">
        <v>245</v>
      </c>
      <c r="AT85" s="30" t="s">
        <v>957</v>
      </c>
      <c r="AU85" s="30">
        <v>2024</v>
      </c>
      <c r="AV85" s="30">
        <v>318</v>
      </c>
      <c r="AW85" s="30" t="s">
        <v>245</v>
      </c>
      <c r="AX85" s="30" t="s">
        <v>245</v>
      </c>
      <c r="AY85" s="30" t="s">
        <v>245</v>
      </c>
      <c r="AZ85" s="30" t="s">
        <v>245</v>
      </c>
      <c r="BA85" s="30" t="s">
        <v>245</v>
      </c>
      <c r="BB85" s="30" t="s">
        <v>245</v>
      </c>
      <c r="BC85" s="30" t="s">
        <v>245</v>
      </c>
      <c r="BD85" s="30">
        <v>109591</v>
      </c>
      <c r="BE85" s="30" t="s">
        <v>958</v>
      </c>
      <c r="BF85" s="30" t="str">
        <f>HYPERLINK("http://dx.doi.org/10.1016/j.fcr.2024.109591","http://dx.doi.org/10.1016/j.fcr.2024.109591")</f>
        <v>http://dx.doi.org/10.1016/j.fcr.2024.109591</v>
      </c>
      <c r="BG85" s="30" t="s">
        <v>245</v>
      </c>
      <c r="BH85" s="30" t="s">
        <v>959</v>
      </c>
      <c r="BI85" s="30" t="s">
        <v>245</v>
      </c>
      <c r="BJ85" s="30" t="s">
        <v>245</v>
      </c>
      <c r="BK85" s="30" t="s">
        <v>245</v>
      </c>
      <c r="BL85" s="30" t="s">
        <v>245</v>
      </c>
      <c r="BM85" s="30" t="s">
        <v>245</v>
      </c>
      <c r="BN85" s="30" t="s">
        <v>245</v>
      </c>
      <c r="BO85" s="30" t="s">
        <v>245</v>
      </c>
      <c r="BP85" s="30" t="s">
        <v>245</v>
      </c>
      <c r="BQ85" s="30" t="s">
        <v>245</v>
      </c>
      <c r="BR85" s="30" t="s">
        <v>245</v>
      </c>
      <c r="BS85" s="30" t="s">
        <v>960</v>
      </c>
      <c r="BT85" s="30" t="str">
        <f>HYPERLINK("https%3A%2F%2Fwww.webofscience.com%2Fwos%2Fwoscc%2Ffull-record%2FWOS:001325231600001","View Full Record in Web of Science")</f>
        <v>View Full Record in Web of Science</v>
      </c>
    </row>
    <row r="86" spans="1:72" x14ac:dyDescent="0.2">
      <c r="A86" s="30" t="s">
        <v>243</v>
      </c>
      <c r="B86" s="30" t="s">
        <v>961</v>
      </c>
      <c r="C86" s="30" t="s">
        <v>245</v>
      </c>
      <c r="D86" s="30" t="s">
        <v>245</v>
      </c>
      <c r="E86" s="30" t="s">
        <v>245</v>
      </c>
      <c r="F86" s="30" t="s">
        <v>962</v>
      </c>
      <c r="G86" s="30" t="s">
        <v>245</v>
      </c>
      <c r="H86" s="30" t="s">
        <v>245</v>
      </c>
      <c r="I86" s="30" t="s">
        <v>963</v>
      </c>
      <c r="J86" s="30" t="s">
        <v>964</v>
      </c>
      <c r="K86" s="30" t="s">
        <v>245</v>
      </c>
      <c r="L86" s="30" t="s">
        <v>245</v>
      </c>
      <c r="M86" s="30" t="s">
        <v>245</v>
      </c>
      <c r="N86" s="30" t="s">
        <v>245</v>
      </c>
      <c r="O86" s="30" t="s">
        <v>245</v>
      </c>
      <c r="P86" s="30" t="s">
        <v>245</v>
      </c>
      <c r="Q86" s="30" t="s">
        <v>245</v>
      </c>
      <c r="R86" s="30" t="s">
        <v>245</v>
      </c>
      <c r="S86" s="30" t="s">
        <v>245</v>
      </c>
      <c r="T86" s="30" t="s">
        <v>245</v>
      </c>
      <c r="U86" s="30" t="s">
        <v>245</v>
      </c>
      <c r="V86" s="30" t="s">
        <v>245</v>
      </c>
      <c r="W86" s="30" t="s">
        <v>245</v>
      </c>
      <c r="X86" s="30" t="s">
        <v>245</v>
      </c>
      <c r="Y86" s="30" t="s">
        <v>245</v>
      </c>
      <c r="Z86" s="30" t="s">
        <v>245</v>
      </c>
      <c r="AA86" s="30" t="s">
        <v>965</v>
      </c>
      <c r="AB86" s="30" t="s">
        <v>966</v>
      </c>
      <c r="AC86" s="30" t="s">
        <v>245</v>
      </c>
      <c r="AD86" s="30" t="s">
        <v>245</v>
      </c>
      <c r="AE86" s="30" t="s">
        <v>245</v>
      </c>
      <c r="AF86" s="30" t="s">
        <v>245</v>
      </c>
      <c r="AG86" s="30" t="s">
        <v>245</v>
      </c>
      <c r="AH86" s="30" t="s">
        <v>245</v>
      </c>
      <c r="AI86" s="30" t="s">
        <v>245</v>
      </c>
      <c r="AJ86" s="30" t="s">
        <v>245</v>
      </c>
      <c r="AK86" s="30" t="s">
        <v>245</v>
      </c>
      <c r="AL86" s="30" t="s">
        <v>245</v>
      </c>
      <c r="AM86" s="30" t="s">
        <v>245</v>
      </c>
      <c r="AN86" s="30" t="s">
        <v>245</v>
      </c>
      <c r="AO86" s="30" t="s">
        <v>245</v>
      </c>
      <c r="AP86" s="30" t="s">
        <v>967</v>
      </c>
      <c r="AQ86" s="30" t="s">
        <v>245</v>
      </c>
      <c r="AR86" s="30" t="s">
        <v>245</v>
      </c>
      <c r="AS86" s="30" t="s">
        <v>245</v>
      </c>
      <c r="AT86" s="30" t="s">
        <v>968</v>
      </c>
      <c r="AU86" s="30">
        <v>2024</v>
      </c>
      <c r="AV86" s="30">
        <v>4</v>
      </c>
      <c r="AW86" s="30">
        <v>1</v>
      </c>
      <c r="AX86" s="30" t="s">
        <v>245</v>
      </c>
      <c r="AY86" s="30" t="s">
        <v>245</v>
      </c>
      <c r="AZ86" s="30" t="s">
        <v>245</v>
      </c>
      <c r="BA86" s="30" t="s">
        <v>245</v>
      </c>
      <c r="BB86" s="30" t="s">
        <v>245</v>
      </c>
      <c r="BC86" s="30" t="s">
        <v>245</v>
      </c>
      <c r="BD86" s="30" t="s">
        <v>969</v>
      </c>
      <c r="BE86" s="30" t="s">
        <v>970</v>
      </c>
      <c r="BF86" s="30" t="str">
        <f>HYPERLINK("http://dx.doi.org/10.1093/ismeco/ycae040","http://dx.doi.org/10.1093/ismeco/ycae040")</f>
        <v>http://dx.doi.org/10.1093/ismeco/ycae040</v>
      </c>
      <c r="BG86" s="30" t="s">
        <v>245</v>
      </c>
      <c r="BH86" s="30" t="s">
        <v>887</v>
      </c>
      <c r="BI86" s="30" t="s">
        <v>245</v>
      </c>
      <c r="BJ86" s="30" t="s">
        <v>245</v>
      </c>
      <c r="BK86" s="30" t="s">
        <v>245</v>
      </c>
      <c r="BL86" s="30" t="s">
        <v>245</v>
      </c>
      <c r="BM86" s="30" t="s">
        <v>245</v>
      </c>
      <c r="BN86" s="30">
        <v>38628812</v>
      </c>
      <c r="BO86" s="30" t="s">
        <v>245</v>
      </c>
      <c r="BP86" s="30" t="s">
        <v>245</v>
      </c>
      <c r="BQ86" s="30" t="s">
        <v>245</v>
      </c>
      <c r="BR86" s="30" t="s">
        <v>245</v>
      </c>
      <c r="BS86" s="30" t="s">
        <v>971</v>
      </c>
      <c r="BT86" s="30" t="str">
        <f>HYPERLINK("https%3A%2F%2Fwww.webofscience.com%2Fwos%2Fwoscc%2Ffull-record%2FWOS:001273455400001","View Full Record in Web of Science")</f>
        <v>View Full Record in Web of Science</v>
      </c>
    </row>
    <row r="87" spans="1:72" x14ac:dyDescent="0.2">
      <c r="A87" s="30" t="s">
        <v>243</v>
      </c>
      <c r="B87" s="30" t="s">
        <v>972</v>
      </c>
      <c r="C87" s="30" t="s">
        <v>245</v>
      </c>
      <c r="D87" s="30" t="s">
        <v>245</v>
      </c>
      <c r="E87" s="30" t="s">
        <v>245</v>
      </c>
      <c r="F87" s="30" t="s">
        <v>973</v>
      </c>
      <c r="G87" s="30" t="s">
        <v>245</v>
      </c>
      <c r="H87" s="30" t="s">
        <v>245</v>
      </c>
      <c r="I87" s="30" t="s">
        <v>974</v>
      </c>
      <c r="J87" s="30" t="s">
        <v>282</v>
      </c>
      <c r="K87" s="30" t="s">
        <v>245</v>
      </c>
      <c r="L87" s="30" t="s">
        <v>245</v>
      </c>
      <c r="M87" s="30" t="s">
        <v>245</v>
      </c>
      <c r="N87" s="30" t="s">
        <v>245</v>
      </c>
      <c r="O87" s="30" t="s">
        <v>245</v>
      </c>
      <c r="P87" s="30" t="s">
        <v>245</v>
      </c>
      <c r="Q87" s="30" t="s">
        <v>245</v>
      </c>
      <c r="R87" s="30" t="s">
        <v>245</v>
      </c>
      <c r="S87" s="30" t="s">
        <v>245</v>
      </c>
      <c r="T87" s="30" t="s">
        <v>245</v>
      </c>
      <c r="U87" s="30" t="s">
        <v>245</v>
      </c>
      <c r="V87" s="30" t="s">
        <v>245</v>
      </c>
      <c r="W87" s="30" t="s">
        <v>245</v>
      </c>
      <c r="X87" s="30" t="s">
        <v>245</v>
      </c>
      <c r="Y87" s="30" t="s">
        <v>245</v>
      </c>
      <c r="Z87" s="30" t="s">
        <v>245</v>
      </c>
      <c r="AA87" s="30" t="s">
        <v>975</v>
      </c>
      <c r="AB87" s="30" t="s">
        <v>976</v>
      </c>
      <c r="AC87" s="30" t="s">
        <v>245</v>
      </c>
      <c r="AD87" s="30" t="s">
        <v>245</v>
      </c>
      <c r="AE87" s="30" t="s">
        <v>245</v>
      </c>
      <c r="AF87" s="30" t="s">
        <v>245</v>
      </c>
      <c r="AG87" s="30" t="s">
        <v>245</v>
      </c>
      <c r="AH87" s="30" t="s">
        <v>245</v>
      </c>
      <c r="AI87" s="30" t="s">
        <v>245</v>
      </c>
      <c r="AJ87" s="30" t="s">
        <v>245</v>
      </c>
      <c r="AK87" s="30" t="s">
        <v>245</v>
      </c>
      <c r="AL87" s="30" t="s">
        <v>245</v>
      </c>
      <c r="AM87" s="30" t="s">
        <v>245</v>
      </c>
      <c r="AN87" s="30" t="s">
        <v>245</v>
      </c>
      <c r="AO87" s="30" t="s">
        <v>285</v>
      </c>
      <c r="AP87" s="30" t="s">
        <v>245</v>
      </c>
      <c r="AQ87" s="30" t="s">
        <v>245</v>
      </c>
      <c r="AR87" s="30" t="s">
        <v>245</v>
      </c>
      <c r="AS87" s="30" t="s">
        <v>245</v>
      </c>
      <c r="AT87" s="30" t="s">
        <v>646</v>
      </c>
      <c r="AU87" s="30">
        <v>2008</v>
      </c>
      <c r="AV87" s="30">
        <v>40</v>
      </c>
      <c r="AW87" s="30">
        <v>7</v>
      </c>
      <c r="AX87" s="30" t="s">
        <v>245</v>
      </c>
      <c r="AY87" s="30" t="s">
        <v>245</v>
      </c>
      <c r="AZ87" s="30" t="s">
        <v>245</v>
      </c>
      <c r="BA87" s="30" t="s">
        <v>245</v>
      </c>
      <c r="BB87" s="30">
        <v>1698</v>
      </c>
      <c r="BC87" s="30">
        <v>1706</v>
      </c>
      <c r="BD87" s="30" t="s">
        <v>245</v>
      </c>
      <c r="BE87" s="30" t="s">
        <v>977</v>
      </c>
      <c r="BF87" s="30" t="str">
        <f>HYPERLINK("http://dx.doi.org/10.1016/j.soilbio.2008.02.005","http://dx.doi.org/10.1016/j.soilbio.2008.02.005")</f>
        <v>http://dx.doi.org/10.1016/j.soilbio.2008.02.005</v>
      </c>
      <c r="BG87" s="30" t="s">
        <v>245</v>
      </c>
      <c r="BH87" s="30" t="s">
        <v>245</v>
      </c>
      <c r="BI87" s="30" t="s">
        <v>245</v>
      </c>
      <c r="BJ87" s="30" t="s">
        <v>245</v>
      </c>
      <c r="BK87" s="30" t="s">
        <v>245</v>
      </c>
      <c r="BL87" s="30" t="s">
        <v>245</v>
      </c>
      <c r="BM87" s="30" t="s">
        <v>245</v>
      </c>
      <c r="BN87" s="30" t="s">
        <v>245</v>
      </c>
      <c r="BO87" s="30" t="s">
        <v>245</v>
      </c>
      <c r="BP87" s="30" t="s">
        <v>245</v>
      </c>
      <c r="BQ87" s="30" t="s">
        <v>245</v>
      </c>
      <c r="BR87" s="30" t="s">
        <v>245</v>
      </c>
      <c r="BS87" s="30" t="s">
        <v>978</v>
      </c>
      <c r="BT87" s="30" t="str">
        <f>HYPERLINK("https%3A%2F%2Fwww.webofscience.com%2Fwos%2Fwoscc%2Ffull-record%2FWOS:000257616100018","View Full Record in Web of Science")</f>
        <v>View Full Record in Web of Science</v>
      </c>
    </row>
    <row r="88" spans="1:72" x14ac:dyDescent="0.2">
      <c r="A88" s="30" t="s">
        <v>243</v>
      </c>
      <c r="B88" s="30" t="s">
        <v>979</v>
      </c>
      <c r="C88" s="30" t="s">
        <v>245</v>
      </c>
      <c r="D88" s="30" t="s">
        <v>245</v>
      </c>
      <c r="E88" s="30" t="s">
        <v>245</v>
      </c>
      <c r="F88" s="30" t="s">
        <v>979</v>
      </c>
      <c r="G88" s="30" t="s">
        <v>245</v>
      </c>
      <c r="H88" s="30" t="s">
        <v>245</v>
      </c>
      <c r="I88" s="30" t="s">
        <v>980</v>
      </c>
      <c r="J88" s="30" t="s">
        <v>282</v>
      </c>
      <c r="K88" s="30" t="s">
        <v>245</v>
      </c>
      <c r="L88" s="30" t="s">
        <v>245</v>
      </c>
      <c r="M88" s="30" t="s">
        <v>245</v>
      </c>
      <c r="N88" s="30" t="s">
        <v>245</v>
      </c>
      <c r="O88" s="30" t="s">
        <v>245</v>
      </c>
      <c r="P88" s="30" t="s">
        <v>245</v>
      </c>
      <c r="Q88" s="30" t="s">
        <v>245</v>
      </c>
      <c r="R88" s="30" t="s">
        <v>245</v>
      </c>
      <c r="S88" s="30" t="s">
        <v>245</v>
      </c>
      <c r="T88" s="30" t="s">
        <v>245</v>
      </c>
      <c r="U88" s="30" t="s">
        <v>245</v>
      </c>
      <c r="V88" s="30" t="s">
        <v>245</v>
      </c>
      <c r="W88" s="30" t="s">
        <v>245</v>
      </c>
      <c r="X88" s="30" t="s">
        <v>245</v>
      </c>
      <c r="Y88" s="30" t="s">
        <v>245</v>
      </c>
      <c r="Z88" s="30" t="s">
        <v>245</v>
      </c>
      <c r="AA88" s="30" t="s">
        <v>981</v>
      </c>
      <c r="AB88" s="30" t="s">
        <v>245</v>
      </c>
      <c r="AC88" s="30" t="s">
        <v>245</v>
      </c>
      <c r="AD88" s="30" t="s">
        <v>245</v>
      </c>
      <c r="AE88" s="30" t="s">
        <v>245</v>
      </c>
      <c r="AF88" s="30" t="s">
        <v>245</v>
      </c>
      <c r="AG88" s="30" t="s">
        <v>245</v>
      </c>
      <c r="AH88" s="30" t="s">
        <v>245</v>
      </c>
      <c r="AI88" s="30" t="s">
        <v>245</v>
      </c>
      <c r="AJ88" s="30" t="s">
        <v>245</v>
      </c>
      <c r="AK88" s="30" t="s">
        <v>245</v>
      </c>
      <c r="AL88" s="30" t="s">
        <v>245</v>
      </c>
      <c r="AM88" s="30" t="s">
        <v>245</v>
      </c>
      <c r="AN88" s="30" t="s">
        <v>245</v>
      </c>
      <c r="AO88" s="30" t="s">
        <v>285</v>
      </c>
      <c r="AP88" s="30" t="s">
        <v>370</v>
      </c>
      <c r="AQ88" s="30" t="s">
        <v>245</v>
      </c>
      <c r="AR88" s="30" t="s">
        <v>245</v>
      </c>
      <c r="AS88" s="30" t="s">
        <v>245</v>
      </c>
      <c r="AT88" s="30" t="s">
        <v>297</v>
      </c>
      <c r="AU88" s="30">
        <v>1993</v>
      </c>
      <c r="AV88" s="30">
        <v>25</v>
      </c>
      <c r="AW88" s="30">
        <v>10</v>
      </c>
      <c r="AX88" s="30" t="s">
        <v>245</v>
      </c>
      <c r="AY88" s="30" t="s">
        <v>245</v>
      </c>
      <c r="AZ88" s="30" t="s">
        <v>245</v>
      </c>
      <c r="BA88" s="30" t="s">
        <v>245</v>
      </c>
      <c r="BB88" s="30">
        <v>1415</v>
      </c>
      <c r="BC88" s="30">
        <v>1421</v>
      </c>
      <c r="BD88" s="30" t="s">
        <v>245</v>
      </c>
      <c r="BE88" s="30" t="s">
        <v>982</v>
      </c>
      <c r="BF88" s="30" t="str">
        <f>HYPERLINK("http://dx.doi.org/10.1016/0038-0717(93)90056-H","http://dx.doi.org/10.1016/0038-0717(93)90056-H")</f>
        <v>http://dx.doi.org/10.1016/0038-0717(93)90056-H</v>
      </c>
      <c r="BG88" s="30" t="s">
        <v>245</v>
      </c>
      <c r="BH88" s="30" t="s">
        <v>245</v>
      </c>
      <c r="BI88" s="30" t="s">
        <v>245</v>
      </c>
      <c r="BJ88" s="30" t="s">
        <v>245</v>
      </c>
      <c r="BK88" s="30" t="s">
        <v>245</v>
      </c>
      <c r="BL88" s="30" t="s">
        <v>245</v>
      </c>
      <c r="BM88" s="30" t="s">
        <v>245</v>
      </c>
      <c r="BN88" s="30" t="s">
        <v>245</v>
      </c>
      <c r="BO88" s="30" t="s">
        <v>245</v>
      </c>
      <c r="BP88" s="30" t="s">
        <v>245</v>
      </c>
      <c r="BQ88" s="30" t="s">
        <v>245</v>
      </c>
      <c r="BR88" s="30" t="s">
        <v>245</v>
      </c>
      <c r="BS88" s="30" t="s">
        <v>983</v>
      </c>
      <c r="BT88" s="30" t="str">
        <f>HYPERLINK("https%3A%2F%2Fwww.webofscience.com%2Fwos%2Fwoscc%2Ffull-record%2FWOS:A1993LZ39600012","View Full Record in Web of Science")</f>
        <v>View Full Record in Web of Science</v>
      </c>
    </row>
    <row r="89" spans="1:72" x14ac:dyDescent="0.2">
      <c r="A89" s="30" t="s">
        <v>243</v>
      </c>
      <c r="B89" s="30" t="s">
        <v>984</v>
      </c>
      <c r="C89" s="30" t="s">
        <v>245</v>
      </c>
      <c r="D89" s="30" t="s">
        <v>245</v>
      </c>
      <c r="E89" s="30" t="s">
        <v>245</v>
      </c>
      <c r="F89" s="30" t="s">
        <v>984</v>
      </c>
      <c r="G89" s="30" t="s">
        <v>245</v>
      </c>
      <c r="H89" s="30" t="s">
        <v>245</v>
      </c>
      <c r="I89" s="30" t="s">
        <v>985</v>
      </c>
      <c r="J89" s="30" t="s">
        <v>986</v>
      </c>
      <c r="K89" s="30" t="s">
        <v>245</v>
      </c>
      <c r="L89" s="30" t="s">
        <v>245</v>
      </c>
      <c r="M89" s="30" t="s">
        <v>245</v>
      </c>
      <c r="N89" s="30" t="s">
        <v>245</v>
      </c>
      <c r="O89" s="30" t="s">
        <v>245</v>
      </c>
      <c r="P89" s="30" t="s">
        <v>245</v>
      </c>
      <c r="Q89" s="30" t="s">
        <v>245</v>
      </c>
      <c r="R89" s="30" t="s">
        <v>245</v>
      </c>
      <c r="S89" s="30" t="s">
        <v>245</v>
      </c>
      <c r="T89" s="30" t="s">
        <v>245</v>
      </c>
      <c r="U89" s="30" t="s">
        <v>245</v>
      </c>
      <c r="V89" s="30" t="s">
        <v>245</v>
      </c>
      <c r="W89" s="30" t="s">
        <v>245</v>
      </c>
      <c r="X89" s="30" t="s">
        <v>245</v>
      </c>
      <c r="Y89" s="30" t="s">
        <v>245</v>
      </c>
      <c r="Z89" s="30" t="s">
        <v>245</v>
      </c>
      <c r="AA89" s="30" t="s">
        <v>245</v>
      </c>
      <c r="AB89" s="30" t="s">
        <v>245</v>
      </c>
      <c r="AC89" s="30" t="s">
        <v>245</v>
      </c>
      <c r="AD89" s="30" t="s">
        <v>245</v>
      </c>
      <c r="AE89" s="30" t="s">
        <v>245</v>
      </c>
      <c r="AF89" s="30" t="s">
        <v>245</v>
      </c>
      <c r="AG89" s="30" t="s">
        <v>245</v>
      </c>
      <c r="AH89" s="30" t="s">
        <v>245</v>
      </c>
      <c r="AI89" s="30" t="s">
        <v>245</v>
      </c>
      <c r="AJ89" s="30" t="s">
        <v>245</v>
      </c>
      <c r="AK89" s="30" t="s">
        <v>245</v>
      </c>
      <c r="AL89" s="30" t="s">
        <v>245</v>
      </c>
      <c r="AM89" s="30" t="s">
        <v>245</v>
      </c>
      <c r="AN89" s="30" t="s">
        <v>245</v>
      </c>
      <c r="AO89" s="30" t="s">
        <v>987</v>
      </c>
      <c r="AP89" s="30" t="s">
        <v>988</v>
      </c>
      <c r="AQ89" s="30" t="s">
        <v>245</v>
      </c>
      <c r="AR89" s="30" t="s">
        <v>245</v>
      </c>
      <c r="AS89" s="30" t="s">
        <v>245</v>
      </c>
      <c r="AT89" s="30" t="s">
        <v>245</v>
      </c>
      <c r="AU89" s="30">
        <v>1985</v>
      </c>
      <c r="AV89" s="30">
        <v>50</v>
      </c>
      <c r="AW89" s="30">
        <v>6</v>
      </c>
      <c r="AX89" s="30" t="s">
        <v>245</v>
      </c>
      <c r="AY89" s="30" t="s">
        <v>245</v>
      </c>
      <c r="AZ89" s="30" t="s">
        <v>245</v>
      </c>
      <c r="BA89" s="30" t="s">
        <v>245</v>
      </c>
      <c r="BB89" s="30">
        <v>1519</v>
      </c>
      <c r="BC89" s="30">
        <v>1525</v>
      </c>
      <c r="BD89" s="30" t="s">
        <v>245</v>
      </c>
      <c r="BE89" s="30" t="s">
        <v>989</v>
      </c>
      <c r="BF89" s="30" t="str">
        <f>HYPERLINK("http://dx.doi.org/10.1128/AEM.50.6.1519-1525.1985","http://dx.doi.org/10.1128/AEM.50.6.1519-1525.1985")</f>
        <v>http://dx.doi.org/10.1128/AEM.50.6.1519-1525.1985</v>
      </c>
      <c r="BG89" s="30" t="s">
        <v>245</v>
      </c>
      <c r="BH89" s="30" t="s">
        <v>245</v>
      </c>
      <c r="BI89" s="30" t="s">
        <v>245</v>
      </c>
      <c r="BJ89" s="30" t="s">
        <v>245</v>
      </c>
      <c r="BK89" s="30" t="s">
        <v>245</v>
      </c>
      <c r="BL89" s="30" t="s">
        <v>245</v>
      </c>
      <c r="BM89" s="30" t="s">
        <v>245</v>
      </c>
      <c r="BN89" s="30">
        <v>16346951</v>
      </c>
      <c r="BO89" s="30" t="s">
        <v>245</v>
      </c>
      <c r="BP89" s="30" t="s">
        <v>245</v>
      </c>
      <c r="BQ89" s="30" t="s">
        <v>245</v>
      </c>
      <c r="BR89" s="30" t="s">
        <v>245</v>
      </c>
      <c r="BS89" s="30" t="s">
        <v>990</v>
      </c>
      <c r="BT89" s="30" t="str">
        <f>HYPERLINK("https%3A%2F%2Fwww.webofscience.com%2Fwos%2Fwoscc%2Ffull-record%2FWOS:A1985AVM8500031","View Full Record in Web of Science")</f>
        <v>View Full Record in Web of Science</v>
      </c>
    </row>
    <row r="90" spans="1:72" x14ac:dyDescent="0.2">
      <c r="A90" s="30" t="s">
        <v>243</v>
      </c>
      <c r="B90" s="30" t="s">
        <v>991</v>
      </c>
      <c r="C90" s="30" t="s">
        <v>245</v>
      </c>
      <c r="D90" s="30" t="s">
        <v>245</v>
      </c>
      <c r="E90" s="30" t="s">
        <v>245</v>
      </c>
      <c r="F90" s="30" t="s">
        <v>991</v>
      </c>
      <c r="G90" s="30" t="s">
        <v>245</v>
      </c>
      <c r="H90" s="30" t="s">
        <v>245</v>
      </c>
      <c r="I90" s="30" t="s">
        <v>992</v>
      </c>
      <c r="J90" s="30" t="s">
        <v>541</v>
      </c>
      <c r="K90" s="30" t="s">
        <v>245</v>
      </c>
      <c r="L90" s="30" t="s">
        <v>245</v>
      </c>
      <c r="M90" s="30" t="s">
        <v>245</v>
      </c>
      <c r="N90" s="30" t="s">
        <v>245</v>
      </c>
      <c r="O90" s="30" t="s">
        <v>245</v>
      </c>
      <c r="P90" s="30" t="s">
        <v>245</v>
      </c>
      <c r="Q90" s="30" t="s">
        <v>245</v>
      </c>
      <c r="R90" s="30" t="s">
        <v>245</v>
      </c>
      <c r="S90" s="30" t="s">
        <v>245</v>
      </c>
      <c r="T90" s="30" t="s">
        <v>245</v>
      </c>
      <c r="U90" s="30" t="s">
        <v>245</v>
      </c>
      <c r="V90" s="30" t="s">
        <v>245</v>
      </c>
      <c r="W90" s="30" t="s">
        <v>245</v>
      </c>
      <c r="X90" s="30" t="s">
        <v>245</v>
      </c>
      <c r="Y90" s="30" t="s">
        <v>245</v>
      </c>
      <c r="Z90" s="30" t="s">
        <v>245</v>
      </c>
      <c r="AA90" s="30" t="s">
        <v>993</v>
      </c>
      <c r="AB90" s="30" t="s">
        <v>994</v>
      </c>
      <c r="AC90" s="30" t="s">
        <v>245</v>
      </c>
      <c r="AD90" s="30" t="s">
        <v>245</v>
      </c>
      <c r="AE90" s="30" t="s">
        <v>245</v>
      </c>
      <c r="AF90" s="30" t="s">
        <v>245</v>
      </c>
      <c r="AG90" s="30" t="s">
        <v>245</v>
      </c>
      <c r="AH90" s="30" t="s">
        <v>245</v>
      </c>
      <c r="AI90" s="30" t="s">
        <v>245</v>
      </c>
      <c r="AJ90" s="30" t="s">
        <v>245</v>
      </c>
      <c r="AK90" s="30" t="s">
        <v>245</v>
      </c>
      <c r="AL90" s="30" t="s">
        <v>245</v>
      </c>
      <c r="AM90" s="30" t="s">
        <v>245</v>
      </c>
      <c r="AN90" s="30" t="s">
        <v>245</v>
      </c>
      <c r="AO90" s="30" t="s">
        <v>544</v>
      </c>
      <c r="AP90" s="30" t="s">
        <v>545</v>
      </c>
      <c r="AQ90" s="30" t="s">
        <v>245</v>
      </c>
      <c r="AR90" s="30" t="s">
        <v>245</v>
      </c>
      <c r="AS90" s="30" t="s">
        <v>245</v>
      </c>
      <c r="AT90" s="30" t="s">
        <v>995</v>
      </c>
      <c r="AU90" s="30">
        <v>2005</v>
      </c>
      <c r="AV90" s="30">
        <v>107</v>
      </c>
      <c r="AW90" s="30">
        <v>4</v>
      </c>
      <c r="AX90" s="30" t="s">
        <v>245</v>
      </c>
      <c r="AY90" s="30" t="s">
        <v>245</v>
      </c>
      <c r="AZ90" s="30" t="s">
        <v>245</v>
      </c>
      <c r="BA90" s="30" t="s">
        <v>245</v>
      </c>
      <c r="BB90" s="30">
        <v>371</v>
      </c>
      <c r="BC90" s="30">
        <v>379</v>
      </c>
      <c r="BD90" s="30" t="s">
        <v>245</v>
      </c>
      <c r="BE90" s="30" t="s">
        <v>996</v>
      </c>
      <c r="BF90" s="30" t="str">
        <f>HYPERLINK("http://dx.doi.org/10.1016/j.agee.2004.10.027","http://dx.doi.org/10.1016/j.agee.2004.10.027")</f>
        <v>http://dx.doi.org/10.1016/j.agee.2004.10.027</v>
      </c>
      <c r="BG90" s="30" t="s">
        <v>245</v>
      </c>
      <c r="BH90" s="30" t="s">
        <v>245</v>
      </c>
      <c r="BI90" s="30" t="s">
        <v>245</v>
      </c>
      <c r="BJ90" s="30" t="s">
        <v>245</v>
      </c>
      <c r="BK90" s="30" t="s">
        <v>245</v>
      </c>
      <c r="BL90" s="30" t="s">
        <v>245</v>
      </c>
      <c r="BM90" s="30" t="s">
        <v>245</v>
      </c>
      <c r="BN90" s="30" t="s">
        <v>245</v>
      </c>
      <c r="BO90" s="30" t="s">
        <v>245</v>
      </c>
      <c r="BP90" s="30" t="s">
        <v>245</v>
      </c>
      <c r="BQ90" s="30" t="s">
        <v>245</v>
      </c>
      <c r="BR90" s="30" t="s">
        <v>245</v>
      </c>
      <c r="BS90" s="30" t="s">
        <v>997</v>
      </c>
      <c r="BT90" s="30" t="str">
        <f>HYPERLINK("https%3A%2F%2Fwww.webofscience.com%2Fwos%2Fwoscc%2Ffull-record%2FWOS:000228955400006","View Full Record in Web of Science")</f>
        <v>View Full Record in Web of Science</v>
      </c>
    </row>
    <row r="91" spans="1:72" x14ac:dyDescent="0.2">
      <c r="A91" s="30" t="s">
        <v>243</v>
      </c>
      <c r="B91" s="30" t="s">
        <v>998</v>
      </c>
      <c r="C91" s="30" t="s">
        <v>245</v>
      </c>
      <c r="D91" s="30" t="s">
        <v>245</v>
      </c>
      <c r="E91" s="30" t="s">
        <v>245</v>
      </c>
      <c r="F91" s="30" t="s">
        <v>999</v>
      </c>
      <c r="G91" s="30" t="s">
        <v>245</v>
      </c>
      <c r="H91" s="30" t="s">
        <v>245</v>
      </c>
      <c r="I91" s="30" t="s">
        <v>1000</v>
      </c>
      <c r="J91" s="30" t="s">
        <v>892</v>
      </c>
      <c r="K91" s="30" t="s">
        <v>245</v>
      </c>
      <c r="L91" s="30" t="s">
        <v>245</v>
      </c>
      <c r="M91" s="30" t="s">
        <v>245</v>
      </c>
      <c r="N91" s="30" t="s">
        <v>245</v>
      </c>
      <c r="O91" s="30" t="s">
        <v>245</v>
      </c>
      <c r="P91" s="30" t="s">
        <v>245</v>
      </c>
      <c r="Q91" s="30" t="s">
        <v>245</v>
      </c>
      <c r="R91" s="30" t="s">
        <v>245</v>
      </c>
      <c r="S91" s="30" t="s">
        <v>245</v>
      </c>
      <c r="T91" s="30" t="s">
        <v>245</v>
      </c>
      <c r="U91" s="30" t="s">
        <v>245</v>
      </c>
      <c r="V91" s="30" t="s">
        <v>245</v>
      </c>
      <c r="W91" s="30" t="s">
        <v>245</v>
      </c>
      <c r="X91" s="30" t="s">
        <v>245</v>
      </c>
      <c r="Y91" s="30" t="s">
        <v>245</v>
      </c>
      <c r="Z91" s="30" t="s">
        <v>245</v>
      </c>
      <c r="AA91" s="30" t="s">
        <v>1001</v>
      </c>
      <c r="AB91" s="30" t="s">
        <v>1002</v>
      </c>
      <c r="AC91" s="30" t="s">
        <v>245</v>
      </c>
      <c r="AD91" s="30" t="s">
        <v>245</v>
      </c>
      <c r="AE91" s="30" t="s">
        <v>245</v>
      </c>
      <c r="AF91" s="30" t="s">
        <v>245</v>
      </c>
      <c r="AG91" s="30" t="s">
        <v>245</v>
      </c>
      <c r="AH91" s="30" t="s">
        <v>245</v>
      </c>
      <c r="AI91" s="30" t="s">
        <v>245</v>
      </c>
      <c r="AJ91" s="30" t="s">
        <v>245</v>
      </c>
      <c r="AK91" s="30" t="s">
        <v>245</v>
      </c>
      <c r="AL91" s="30" t="s">
        <v>245</v>
      </c>
      <c r="AM91" s="30" t="s">
        <v>245</v>
      </c>
      <c r="AN91" s="30" t="s">
        <v>245</v>
      </c>
      <c r="AO91" s="30" t="s">
        <v>898</v>
      </c>
      <c r="AP91" s="30" t="s">
        <v>899</v>
      </c>
      <c r="AQ91" s="30" t="s">
        <v>245</v>
      </c>
      <c r="AR91" s="30" t="s">
        <v>245</v>
      </c>
      <c r="AS91" s="30" t="s">
        <v>245</v>
      </c>
      <c r="AT91" s="30" t="s">
        <v>535</v>
      </c>
      <c r="AU91" s="30">
        <v>2015</v>
      </c>
      <c r="AV91" s="30">
        <v>151</v>
      </c>
      <c r="AW91" s="30" t="s">
        <v>245</v>
      </c>
      <c r="AX91" s="30" t="s">
        <v>245</v>
      </c>
      <c r="AY91" s="30" t="s">
        <v>245</v>
      </c>
      <c r="AZ91" s="30" t="s">
        <v>245</v>
      </c>
      <c r="BA91" s="30" t="s">
        <v>245</v>
      </c>
      <c r="BB91" s="30">
        <v>75</v>
      </c>
      <c r="BC91" s="30">
        <v>81</v>
      </c>
      <c r="BD91" s="30" t="s">
        <v>245</v>
      </c>
      <c r="BE91" s="30" t="s">
        <v>1003</v>
      </c>
      <c r="BF91" s="30" t="str">
        <f>HYPERLINK("http://dx.doi.org/10.1016/j.still.2015.03.004","http://dx.doi.org/10.1016/j.still.2015.03.004")</f>
        <v>http://dx.doi.org/10.1016/j.still.2015.03.004</v>
      </c>
      <c r="BG91" s="30" t="s">
        <v>245</v>
      </c>
      <c r="BH91" s="30" t="s">
        <v>245</v>
      </c>
      <c r="BI91" s="30" t="s">
        <v>245</v>
      </c>
      <c r="BJ91" s="30" t="s">
        <v>245</v>
      </c>
      <c r="BK91" s="30" t="s">
        <v>245</v>
      </c>
      <c r="BL91" s="30" t="s">
        <v>245</v>
      </c>
      <c r="BM91" s="30" t="s">
        <v>245</v>
      </c>
      <c r="BN91" s="30" t="s">
        <v>245</v>
      </c>
      <c r="BO91" s="30" t="s">
        <v>245</v>
      </c>
      <c r="BP91" s="30" t="s">
        <v>245</v>
      </c>
      <c r="BQ91" s="30" t="s">
        <v>245</v>
      </c>
      <c r="BR91" s="30" t="s">
        <v>245</v>
      </c>
      <c r="BS91" s="30" t="s">
        <v>1004</v>
      </c>
      <c r="BT91" s="30" t="str">
        <f>HYPERLINK("https%3A%2F%2Fwww.webofscience.com%2Fwos%2Fwoscc%2Ffull-record%2FWOS:000353093200009","View Full Record in Web of Science")</f>
        <v>View Full Record in Web of Science</v>
      </c>
    </row>
    <row r="92" spans="1:72" x14ac:dyDescent="0.2">
      <c r="A92" s="30" t="s">
        <v>243</v>
      </c>
      <c r="B92" s="30" t="s">
        <v>1005</v>
      </c>
      <c r="C92" s="30" t="s">
        <v>245</v>
      </c>
      <c r="D92" s="30" t="s">
        <v>245</v>
      </c>
      <c r="E92" s="30" t="s">
        <v>245</v>
      </c>
      <c r="F92" s="30" t="s">
        <v>1006</v>
      </c>
      <c r="G92" s="30" t="s">
        <v>245</v>
      </c>
      <c r="H92" s="30" t="s">
        <v>245</v>
      </c>
      <c r="I92" s="30" t="s">
        <v>1007</v>
      </c>
      <c r="J92" s="30" t="s">
        <v>460</v>
      </c>
      <c r="K92" s="30" t="s">
        <v>245</v>
      </c>
      <c r="L92" s="30" t="s">
        <v>245</v>
      </c>
      <c r="M92" s="30" t="s">
        <v>245</v>
      </c>
      <c r="N92" s="30" t="s">
        <v>245</v>
      </c>
      <c r="O92" s="30" t="s">
        <v>245</v>
      </c>
      <c r="P92" s="30" t="s">
        <v>245</v>
      </c>
      <c r="Q92" s="30" t="s">
        <v>245</v>
      </c>
      <c r="R92" s="30" t="s">
        <v>245</v>
      </c>
      <c r="S92" s="30" t="s">
        <v>245</v>
      </c>
      <c r="T92" s="30" t="s">
        <v>245</v>
      </c>
      <c r="U92" s="30" t="s">
        <v>245</v>
      </c>
      <c r="V92" s="30" t="s">
        <v>245</v>
      </c>
      <c r="W92" s="30" t="s">
        <v>245</v>
      </c>
      <c r="X92" s="30" t="s">
        <v>245</v>
      </c>
      <c r="Y92" s="30" t="s">
        <v>245</v>
      </c>
      <c r="Z92" s="30" t="s">
        <v>245</v>
      </c>
      <c r="AA92" s="30" t="s">
        <v>1008</v>
      </c>
      <c r="AB92" s="30" t="s">
        <v>1009</v>
      </c>
      <c r="AC92" s="30" t="s">
        <v>245</v>
      </c>
      <c r="AD92" s="30" t="s">
        <v>245</v>
      </c>
      <c r="AE92" s="30" t="s">
        <v>245</v>
      </c>
      <c r="AF92" s="30" t="s">
        <v>245</v>
      </c>
      <c r="AG92" s="30" t="s">
        <v>245</v>
      </c>
      <c r="AH92" s="30" t="s">
        <v>245</v>
      </c>
      <c r="AI92" s="30" t="s">
        <v>245</v>
      </c>
      <c r="AJ92" s="30" t="s">
        <v>245</v>
      </c>
      <c r="AK92" s="30" t="s">
        <v>245</v>
      </c>
      <c r="AL92" s="30" t="s">
        <v>245</v>
      </c>
      <c r="AM92" s="30" t="s">
        <v>245</v>
      </c>
      <c r="AN92" s="30" t="s">
        <v>245</v>
      </c>
      <c r="AO92" s="30" t="s">
        <v>462</v>
      </c>
      <c r="AP92" s="30" t="s">
        <v>463</v>
      </c>
      <c r="AQ92" s="30" t="s">
        <v>245</v>
      </c>
      <c r="AR92" s="30" t="s">
        <v>245</v>
      </c>
      <c r="AS92" s="30" t="s">
        <v>245</v>
      </c>
      <c r="AT92" s="30" t="s">
        <v>435</v>
      </c>
      <c r="AU92" s="30">
        <v>2010</v>
      </c>
      <c r="AV92" s="30">
        <v>90</v>
      </c>
      <c r="AW92" s="30">
        <v>2</v>
      </c>
      <c r="AX92" s="30" t="s">
        <v>245</v>
      </c>
      <c r="AY92" s="30" t="s">
        <v>245</v>
      </c>
      <c r="AZ92" s="30" t="s">
        <v>245</v>
      </c>
      <c r="BA92" s="30" t="s">
        <v>245</v>
      </c>
      <c r="BB92" s="30">
        <v>243</v>
      </c>
      <c r="BC92" s="30">
        <v>256</v>
      </c>
      <c r="BD92" s="30" t="s">
        <v>245</v>
      </c>
      <c r="BE92" s="30" t="s">
        <v>1010</v>
      </c>
      <c r="BF92" s="30" t="str">
        <f>HYPERLINK("http://dx.doi.org/10.4141/CJSS08053","http://dx.doi.org/10.4141/CJSS08053")</f>
        <v>http://dx.doi.org/10.4141/CJSS08053</v>
      </c>
      <c r="BG92" s="30" t="s">
        <v>245</v>
      </c>
      <c r="BH92" s="30" t="s">
        <v>245</v>
      </c>
      <c r="BI92" s="30" t="s">
        <v>245</v>
      </c>
      <c r="BJ92" s="30" t="s">
        <v>245</v>
      </c>
      <c r="BK92" s="30" t="s">
        <v>245</v>
      </c>
      <c r="BL92" s="30" t="s">
        <v>245</v>
      </c>
      <c r="BM92" s="30" t="s">
        <v>245</v>
      </c>
      <c r="BN92" s="30" t="s">
        <v>245</v>
      </c>
      <c r="BO92" s="30" t="s">
        <v>245</v>
      </c>
      <c r="BP92" s="30" t="s">
        <v>245</v>
      </c>
      <c r="BQ92" s="30" t="s">
        <v>245</v>
      </c>
      <c r="BR92" s="30" t="s">
        <v>245</v>
      </c>
      <c r="BS92" s="30" t="s">
        <v>1011</v>
      </c>
      <c r="BT92" s="30" t="str">
        <f>HYPERLINK("https%3A%2F%2Fwww.webofscience.com%2Fwos%2Fwoscc%2Ffull-record%2FWOS:000278170700001","View Full Record in Web of Science")</f>
        <v>View Full Record in Web of Science</v>
      </c>
    </row>
    <row r="93" spans="1:72" x14ac:dyDescent="0.2">
      <c r="A93" s="30" t="s">
        <v>243</v>
      </c>
      <c r="B93" s="30" t="s">
        <v>1012</v>
      </c>
      <c r="C93" s="30" t="s">
        <v>245</v>
      </c>
      <c r="D93" s="30" t="s">
        <v>245</v>
      </c>
      <c r="E93" s="30" t="s">
        <v>245</v>
      </c>
      <c r="F93" s="30" t="s">
        <v>1013</v>
      </c>
      <c r="G93" s="30" t="s">
        <v>245</v>
      </c>
      <c r="H93" s="30" t="s">
        <v>245</v>
      </c>
      <c r="I93" s="30" t="s">
        <v>1014</v>
      </c>
      <c r="J93" s="30" t="s">
        <v>1015</v>
      </c>
      <c r="K93" s="30" t="s">
        <v>245</v>
      </c>
      <c r="L93" s="30" t="s">
        <v>245</v>
      </c>
      <c r="M93" s="30" t="s">
        <v>245</v>
      </c>
      <c r="N93" s="30" t="s">
        <v>245</v>
      </c>
      <c r="O93" s="30" t="s">
        <v>245</v>
      </c>
      <c r="P93" s="30" t="s">
        <v>245</v>
      </c>
      <c r="Q93" s="30" t="s">
        <v>245</v>
      </c>
      <c r="R93" s="30" t="s">
        <v>245</v>
      </c>
      <c r="S93" s="30" t="s">
        <v>245</v>
      </c>
      <c r="T93" s="30" t="s">
        <v>245</v>
      </c>
      <c r="U93" s="30" t="s">
        <v>245</v>
      </c>
      <c r="V93" s="30" t="s">
        <v>245</v>
      </c>
      <c r="W93" s="30" t="s">
        <v>245</v>
      </c>
      <c r="X93" s="30" t="s">
        <v>245</v>
      </c>
      <c r="Y93" s="30" t="s">
        <v>245</v>
      </c>
      <c r="Z93" s="30" t="s">
        <v>245</v>
      </c>
      <c r="AA93" s="30" t="s">
        <v>1016</v>
      </c>
      <c r="AB93" s="30" t="s">
        <v>1017</v>
      </c>
      <c r="AC93" s="30" t="s">
        <v>245</v>
      </c>
      <c r="AD93" s="30" t="s">
        <v>245</v>
      </c>
      <c r="AE93" s="30" t="s">
        <v>245</v>
      </c>
      <c r="AF93" s="30" t="s">
        <v>245</v>
      </c>
      <c r="AG93" s="30" t="s">
        <v>245</v>
      </c>
      <c r="AH93" s="30" t="s">
        <v>245</v>
      </c>
      <c r="AI93" s="30" t="s">
        <v>245</v>
      </c>
      <c r="AJ93" s="30" t="s">
        <v>245</v>
      </c>
      <c r="AK93" s="30" t="s">
        <v>245</v>
      </c>
      <c r="AL93" s="30" t="s">
        <v>245</v>
      </c>
      <c r="AM93" s="30" t="s">
        <v>245</v>
      </c>
      <c r="AN93" s="30" t="s">
        <v>245</v>
      </c>
      <c r="AO93" s="30" t="s">
        <v>1018</v>
      </c>
      <c r="AP93" s="30" t="s">
        <v>1019</v>
      </c>
      <c r="AQ93" s="30" t="s">
        <v>245</v>
      </c>
      <c r="AR93" s="30" t="s">
        <v>245</v>
      </c>
      <c r="AS93" s="30" t="s">
        <v>245</v>
      </c>
      <c r="AT93" s="30" t="s">
        <v>365</v>
      </c>
      <c r="AU93" s="30">
        <v>2008</v>
      </c>
      <c r="AV93" s="30">
        <v>87</v>
      </c>
      <c r="AW93" s="30">
        <v>2</v>
      </c>
      <c r="AX93" s="30" t="s">
        <v>245</v>
      </c>
      <c r="AY93" s="30" t="s">
        <v>245</v>
      </c>
      <c r="AZ93" s="30" t="s">
        <v>245</v>
      </c>
      <c r="BA93" s="30" t="s">
        <v>245</v>
      </c>
      <c r="BB93" s="30">
        <v>181</v>
      </c>
      <c r="BC93" s="30">
        <v>198</v>
      </c>
      <c r="BD93" s="30" t="s">
        <v>245</v>
      </c>
      <c r="BE93" s="30" t="s">
        <v>1020</v>
      </c>
      <c r="BF93" s="30" t="str">
        <f>HYPERLINK("http://dx.doi.org/10.1007/s10533-008-9176-9","http://dx.doi.org/10.1007/s10533-008-9176-9")</f>
        <v>http://dx.doi.org/10.1007/s10533-008-9176-9</v>
      </c>
      <c r="BG93" s="30" t="s">
        <v>245</v>
      </c>
      <c r="BH93" s="30" t="s">
        <v>245</v>
      </c>
      <c r="BI93" s="30" t="s">
        <v>245</v>
      </c>
      <c r="BJ93" s="30" t="s">
        <v>245</v>
      </c>
      <c r="BK93" s="30" t="s">
        <v>245</v>
      </c>
      <c r="BL93" s="30" t="s">
        <v>245</v>
      </c>
      <c r="BM93" s="30" t="s">
        <v>245</v>
      </c>
      <c r="BN93" s="30" t="s">
        <v>245</v>
      </c>
      <c r="BO93" s="30" t="s">
        <v>245</v>
      </c>
      <c r="BP93" s="30" t="s">
        <v>245</v>
      </c>
      <c r="BQ93" s="30" t="s">
        <v>245</v>
      </c>
      <c r="BR93" s="30" t="s">
        <v>245</v>
      </c>
      <c r="BS93" s="30" t="s">
        <v>1021</v>
      </c>
      <c r="BT93" s="30" t="str">
        <f>HYPERLINK("https%3A%2F%2Fwww.webofscience.com%2Fwos%2Fwoscc%2Ffull-record%2FWOS:000254360300006","View Full Record in Web of Science")</f>
        <v>View Full Record in Web of Science</v>
      </c>
    </row>
    <row r="94" spans="1:72" x14ac:dyDescent="0.2">
      <c r="A94" s="30" t="s">
        <v>243</v>
      </c>
      <c r="B94" s="30" t="s">
        <v>1022</v>
      </c>
      <c r="C94" s="30" t="s">
        <v>245</v>
      </c>
      <c r="D94" s="30" t="s">
        <v>245</v>
      </c>
      <c r="E94" s="30" t="s">
        <v>245</v>
      </c>
      <c r="F94" s="30" t="s">
        <v>1023</v>
      </c>
      <c r="G94" s="30" t="s">
        <v>245</v>
      </c>
      <c r="H94" s="30" t="s">
        <v>245</v>
      </c>
      <c r="I94" s="30" t="s">
        <v>1024</v>
      </c>
      <c r="J94" s="30" t="s">
        <v>758</v>
      </c>
      <c r="K94" s="30" t="s">
        <v>245</v>
      </c>
      <c r="L94" s="30" t="s">
        <v>245</v>
      </c>
      <c r="M94" s="30" t="s">
        <v>245</v>
      </c>
      <c r="N94" s="30" t="s">
        <v>245</v>
      </c>
      <c r="O94" s="30" t="s">
        <v>245</v>
      </c>
      <c r="P94" s="30" t="s">
        <v>245</v>
      </c>
      <c r="Q94" s="30" t="s">
        <v>245</v>
      </c>
      <c r="R94" s="30" t="s">
        <v>245</v>
      </c>
      <c r="S94" s="30" t="s">
        <v>245</v>
      </c>
      <c r="T94" s="30" t="s">
        <v>245</v>
      </c>
      <c r="U94" s="30" t="s">
        <v>245</v>
      </c>
      <c r="V94" s="30" t="s">
        <v>245</v>
      </c>
      <c r="W94" s="30" t="s">
        <v>245</v>
      </c>
      <c r="X94" s="30" t="s">
        <v>245</v>
      </c>
      <c r="Y94" s="30" t="s">
        <v>245</v>
      </c>
      <c r="Z94" s="30" t="s">
        <v>245</v>
      </c>
      <c r="AA94" s="30" t="s">
        <v>1025</v>
      </c>
      <c r="AB94" s="30" t="s">
        <v>1026</v>
      </c>
      <c r="AC94" s="30" t="s">
        <v>245</v>
      </c>
      <c r="AD94" s="30" t="s">
        <v>245</v>
      </c>
      <c r="AE94" s="30" t="s">
        <v>245</v>
      </c>
      <c r="AF94" s="30" t="s">
        <v>245</v>
      </c>
      <c r="AG94" s="30" t="s">
        <v>245</v>
      </c>
      <c r="AH94" s="30" t="s">
        <v>245</v>
      </c>
      <c r="AI94" s="30" t="s">
        <v>245</v>
      </c>
      <c r="AJ94" s="30" t="s">
        <v>245</v>
      </c>
      <c r="AK94" s="30" t="s">
        <v>245</v>
      </c>
      <c r="AL94" s="30" t="s">
        <v>245</v>
      </c>
      <c r="AM94" s="30" t="s">
        <v>245</v>
      </c>
      <c r="AN94" s="30" t="s">
        <v>245</v>
      </c>
      <c r="AO94" s="30" t="s">
        <v>759</v>
      </c>
      <c r="AP94" s="30" t="s">
        <v>822</v>
      </c>
      <c r="AQ94" s="30" t="s">
        <v>245</v>
      </c>
      <c r="AR94" s="30" t="s">
        <v>245</v>
      </c>
      <c r="AS94" s="30" t="s">
        <v>245</v>
      </c>
      <c r="AT94" s="30" t="s">
        <v>354</v>
      </c>
      <c r="AU94" s="30">
        <v>2024</v>
      </c>
      <c r="AV94" s="30">
        <v>60</v>
      </c>
      <c r="AW94" s="30">
        <v>3</v>
      </c>
      <c r="AX94" s="30" t="s">
        <v>245</v>
      </c>
      <c r="AY94" s="30" t="s">
        <v>245</v>
      </c>
      <c r="AZ94" s="30" t="s">
        <v>245</v>
      </c>
      <c r="BA94" s="30" t="s">
        <v>245</v>
      </c>
      <c r="BB94" s="30">
        <v>375</v>
      </c>
      <c r="BC94" s="30">
        <v>391</v>
      </c>
      <c r="BD94" s="30" t="s">
        <v>245</v>
      </c>
      <c r="BE94" s="30" t="s">
        <v>1027</v>
      </c>
      <c r="BF94" s="30" t="str">
        <f>HYPERLINK("http://dx.doi.org/10.1007/s00374-023-01791-9","http://dx.doi.org/10.1007/s00374-023-01791-9")</f>
        <v>http://dx.doi.org/10.1007/s00374-023-01791-9</v>
      </c>
      <c r="BG94" s="30" t="s">
        <v>245</v>
      </c>
      <c r="BH94" s="30" t="s">
        <v>1028</v>
      </c>
      <c r="BI94" s="30" t="s">
        <v>245</v>
      </c>
      <c r="BJ94" s="30" t="s">
        <v>245</v>
      </c>
      <c r="BK94" s="30" t="s">
        <v>245</v>
      </c>
      <c r="BL94" s="30" t="s">
        <v>245</v>
      </c>
      <c r="BM94" s="30" t="s">
        <v>245</v>
      </c>
      <c r="BN94" s="30" t="s">
        <v>245</v>
      </c>
      <c r="BO94" s="30" t="s">
        <v>245</v>
      </c>
      <c r="BP94" s="30" t="s">
        <v>245</v>
      </c>
      <c r="BQ94" s="30" t="s">
        <v>245</v>
      </c>
      <c r="BR94" s="30" t="s">
        <v>245</v>
      </c>
      <c r="BS94" s="30" t="s">
        <v>1029</v>
      </c>
      <c r="BT94" s="30" t="str">
        <f>HYPERLINK("https%3A%2F%2Fwww.webofscience.com%2Fwos%2Fwoscc%2Ffull-record%2FWOS:001132411100001","View Full Record in Web of Science")</f>
        <v>View Full Record in Web of Science</v>
      </c>
    </row>
    <row r="95" spans="1:72" x14ac:dyDescent="0.2">
      <c r="A95" s="30" t="s">
        <v>243</v>
      </c>
      <c r="B95" s="30" t="s">
        <v>1030</v>
      </c>
      <c r="C95" s="30" t="s">
        <v>245</v>
      </c>
      <c r="D95" s="30" t="s">
        <v>245</v>
      </c>
      <c r="E95" s="30" t="s">
        <v>245</v>
      </c>
      <c r="F95" s="30" t="s">
        <v>1031</v>
      </c>
      <c r="G95" s="30" t="s">
        <v>245</v>
      </c>
      <c r="H95" s="30" t="s">
        <v>245</v>
      </c>
      <c r="I95" s="30" t="s">
        <v>1032</v>
      </c>
      <c r="J95" s="30" t="s">
        <v>641</v>
      </c>
      <c r="K95" s="30" t="s">
        <v>245</v>
      </c>
      <c r="L95" s="30" t="s">
        <v>245</v>
      </c>
      <c r="M95" s="30" t="s">
        <v>245</v>
      </c>
      <c r="N95" s="30" t="s">
        <v>245</v>
      </c>
      <c r="O95" s="30" t="s">
        <v>245</v>
      </c>
      <c r="P95" s="30" t="s">
        <v>245</v>
      </c>
      <c r="Q95" s="30" t="s">
        <v>245</v>
      </c>
      <c r="R95" s="30" t="s">
        <v>245</v>
      </c>
      <c r="S95" s="30" t="s">
        <v>245</v>
      </c>
      <c r="T95" s="30" t="s">
        <v>245</v>
      </c>
      <c r="U95" s="30" t="s">
        <v>245</v>
      </c>
      <c r="V95" s="30" t="s">
        <v>245</v>
      </c>
      <c r="W95" s="30" t="s">
        <v>245</v>
      </c>
      <c r="X95" s="30" t="s">
        <v>245</v>
      </c>
      <c r="Y95" s="30" t="s">
        <v>245</v>
      </c>
      <c r="Z95" s="30" t="s">
        <v>245</v>
      </c>
      <c r="AA95" s="30" t="s">
        <v>245</v>
      </c>
      <c r="AB95" s="30" t="s">
        <v>245</v>
      </c>
      <c r="AC95" s="30" t="s">
        <v>245</v>
      </c>
      <c r="AD95" s="30" t="s">
        <v>245</v>
      </c>
      <c r="AE95" s="30" t="s">
        <v>245</v>
      </c>
      <c r="AF95" s="30" t="s">
        <v>245</v>
      </c>
      <c r="AG95" s="30" t="s">
        <v>245</v>
      </c>
      <c r="AH95" s="30" t="s">
        <v>245</v>
      </c>
      <c r="AI95" s="30" t="s">
        <v>245</v>
      </c>
      <c r="AJ95" s="30" t="s">
        <v>245</v>
      </c>
      <c r="AK95" s="30" t="s">
        <v>245</v>
      </c>
      <c r="AL95" s="30" t="s">
        <v>245</v>
      </c>
      <c r="AM95" s="30" t="s">
        <v>245</v>
      </c>
      <c r="AN95" s="30" t="s">
        <v>245</v>
      </c>
      <c r="AO95" s="30" t="s">
        <v>644</v>
      </c>
      <c r="AP95" s="30" t="s">
        <v>245</v>
      </c>
      <c r="AQ95" s="30" t="s">
        <v>245</v>
      </c>
      <c r="AR95" s="30" t="s">
        <v>245</v>
      </c>
      <c r="AS95" s="30" t="s">
        <v>245</v>
      </c>
      <c r="AT95" s="30" t="s">
        <v>1033</v>
      </c>
      <c r="AU95" s="30">
        <v>2006</v>
      </c>
      <c r="AV95" s="30">
        <v>35</v>
      </c>
      <c r="AW95" s="30">
        <v>5</v>
      </c>
      <c r="AX95" s="30" t="s">
        <v>245</v>
      </c>
      <c r="AY95" s="30" t="s">
        <v>245</v>
      </c>
      <c r="AZ95" s="30" t="s">
        <v>245</v>
      </c>
      <c r="BA95" s="30" t="s">
        <v>245</v>
      </c>
      <c r="BB95" s="30">
        <v>1678</v>
      </c>
      <c r="BC95" s="30">
        <v>1685</v>
      </c>
      <c r="BD95" s="30" t="s">
        <v>245</v>
      </c>
      <c r="BE95" s="30" t="s">
        <v>1034</v>
      </c>
      <c r="BF95" s="30" t="str">
        <f>HYPERLINK("http://dx.doi.org/10.2134/jeq2005.0387","http://dx.doi.org/10.2134/jeq2005.0387")</f>
        <v>http://dx.doi.org/10.2134/jeq2005.0387</v>
      </c>
      <c r="BG95" s="30" t="s">
        <v>245</v>
      </c>
      <c r="BH95" s="30" t="s">
        <v>245</v>
      </c>
      <c r="BI95" s="30" t="s">
        <v>245</v>
      </c>
      <c r="BJ95" s="30" t="s">
        <v>245</v>
      </c>
      <c r="BK95" s="30" t="s">
        <v>245</v>
      </c>
      <c r="BL95" s="30" t="s">
        <v>245</v>
      </c>
      <c r="BM95" s="30" t="s">
        <v>245</v>
      </c>
      <c r="BN95" s="30">
        <v>16899739</v>
      </c>
      <c r="BO95" s="30" t="s">
        <v>245</v>
      </c>
      <c r="BP95" s="30" t="s">
        <v>245</v>
      </c>
      <c r="BQ95" s="30" t="s">
        <v>245</v>
      </c>
      <c r="BR95" s="30" t="s">
        <v>245</v>
      </c>
      <c r="BS95" s="30" t="s">
        <v>1035</v>
      </c>
      <c r="BT95" s="30" t="str">
        <f>HYPERLINK("https%3A%2F%2Fwww.webofscience.com%2Fwos%2Fwoscc%2Ffull-record%2FWOS:000240924200004","View Full Record in Web of Science")</f>
        <v>View Full Record in Web of Science</v>
      </c>
    </row>
    <row r="96" spans="1:72" x14ac:dyDescent="0.2">
      <c r="A96" s="30" t="s">
        <v>243</v>
      </c>
      <c r="B96" s="30" t="s">
        <v>1036</v>
      </c>
      <c r="C96" s="30" t="s">
        <v>245</v>
      </c>
      <c r="D96" s="30" t="s">
        <v>245</v>
      </c>
      <c r="E96" s="30" t="s">
        <v>245</v>
      </c>
      <c r="F96" s="30" t="s">
        <v>1037</v>
      </c>
      <c r="G96" s="30" t="s">
        <v>245</v>
      </c>
      <c r="H96" s="30" t="s">
        <v>245</v>
      </c>
      <c r="I96" s="30" t="s">
        <v>1038</v>
      </c>
      <c r="J96" s="30" t="s">
        <v>282</v>
      </c>
      <c r="K96" s="30" t="s">
        <v>245</v>
      </c>
      <c r="L96" s="30" t="s">
        <v>245</v>
      </c>
      <c r="M96" s="30" t="s">
        <v>245</v>
      </c>
      <c r="N96" s="30" t="s">
        <v>245</v>
      </c>
      <c r="O96" s="30" t="s">
        <v>245</v>
      </c>
      <c r="P96" s="30" t="s">
        <v>245</v>
      </c>
      <c r="Q96" s="30" t="s">
        <v>245</v>
      </c>
      <c r="R96" s="30" t="s">
        <v>245</v>
      </c>
      <c r="S96" s="30" t="s">
        <v>245</v>
      </c>
      <c r="T96" s="30" t="s">
        <v>245</v>
      </c>
      <c r="U96" s="30" t="s">
        <v>245</v>
      </c>
      <c r="V96" s="30" t="s">
        <v>245</v>
      </c>
      <c r="W96" s="30" t="s">
        <v>245</v>
      </c>
      <c r="X96" s="30" t="s">
        <v>245</v>
      </c>
      <c r="Y96" s="30" t="s">
        <v>245</v>
      </c>
      <c r="Z96" s="30" t="s">
        <v>245</v>
      </c>
      <c r="AA96" s="30" t="s">
        <v>1039</v>
      </c>
      <c r="AB96" s="30" t="s">
        <v>245</v>
      </c>
      <c r="AC96" s="30" t="s">
        <v>245</v>
      </c>
      <c r="AD96" s="30" t="s">
        <v>245</v>
      </c>
      <c r="AE96" s="30" t="s">
        <v>245</v>
      </c>
      <c r="AF96" s="30" t="s">
        <v>245</v>
      </c>
      <c r="AG96" s="30" t="s">
        <v>245</v>
      </c>
      <c r="AH96" s="30" t="s">
        <v>245</v>
      </c>
      <c r="AI96" s="30" t="s">
        <v>245</v>
      </c>
      <c r="AJ96" s="30" t="s">
        <v>245</v>
      </c>
      <c r="AK96" s="30" t="s">
        <v>245</v>
      </c>
      <c r="AL96" s="30" t="s">
        <v>245</v>
      </c>
      <c r="AM96" s="30" t="s">
        <v>245</v>
      </c>
      <c r="AN96" s="30" t="s">
        <v>245</v>
      </c>
      <c r="AO96" s="30" t="s">
        <v>285</v>
      </c>
      <c r="AP96" s="30" t="s">
        <v>370</v>
      </c>
      <c r="AQ96" s="30" t="s">
        <v>245</v>
      </c>
      <c r="AR96" s="30" t="s">
        <v>245</v>
      </c>
      <c r="AS96" s="30" t="s">
        <v>245</v>
      </c>
      <c r="AT96" s="30" t="s">
        <v>286</v>
      </c>
      <c r="AU96" s="30">
        <v>2015</v>
      </c>
      <c r="AV96" s="30">
        <v>80</v>
      </c>
      <c r="AW96" s="30" t="s">
        <v>245</v>
      </c>
      <c r="AX96" s="30" t="s">
        <v>245</v>
      </c>
      <c r="AY96" s="30" t="s">
        <v>245</v>
      </c>
      <c r="AZ96" s="30" t="s">
        <v>245</v>
      </c>
      <c r="BA96" s="30" t="s">
        <v>245</v>
      </c>
      <c r="BB96" s="30">
        <v>167</v>
      </c>
      <c r="BC96" s="30">
        <v>174</v>
      </c>
      <c r="BD96" s="30" t="s">
        <v>245</v>
      </c>
      <c r="BE96" s="30" t="s">
        <v>1040</v>
      </c>
      <c r="BF96" s="30" t="str">
        <f>HYPERLINK("http://dx.doi.org/10.1016/j.soilbio.2014.10.009","http://dx.doi.org/10.1016/j.soilbio.2014.10.009")</f>
        <v>http://dx.doi.org/10.1016/j.soilbio.2014.10.009</v>
      </c>
      <c r="BG96" s="30" t="s">
        <v>245</v>
      </c>
      <c r="BH96" s="30" t="s">
        <v>245</v>
      </c>
      <c r="BI96" s="30" t="s">
        <v>245</v>
      </c>
      <c r="BJ96" s="30" t="s">
        <v>245</v>
      </c>
      <c r="BK96" s="30" t="s">
        <v>245</v>
      </c>
      <c r="BL96" s="30" t="s">
        <v>245</v>
      </c>
      <c r="BM96" s="30" t="s">
        <v>245</v>
      </c>
      <c r="BN96" s="30" t="s">
        <v>245</v>
      </c>
      <c r="BO96" s="30" t="s">
        <v>245</v>
      </c>
      <c r="BP96" s="30" t="s">
        <v>245</v>
      </c>
      <c r="BQ96" s="30" t="s">
        <v>245</v>
      </c>
      <c r="BR96" s="30" t="s">
        <v>245</v>
      </c>
      <c r="BS96" s="30" t="s">
        <v>1041</v>
      </c>
      <c r="BT96" s="30" t="str">
        <f>HYPERLINK("https%3A%2F%2Fwww.webofscience.com%2Fwos%2Fwoscc%2Ffull-record%2FWOS:000346545800020","View Full Record in Web of Science")</f>
        <v>View Full Record in Web of Science</v>
      </c>
    </row>
    <row r="97" spans="1:72" x14ac:dyDescent="0.2">
      <c r="A97" s="30" t="s">
        <v>243</v>
      </c>
      <c r="B97" s="30" t="s">
        <v>1042</v>
      </c>
      <c r="C97" s="30" t="s">
        <v>245</v>
      </c>
      <c r="D97" s="30" t="s">
        <v>245</v>
      </c>
      <c r="E97" s="30" t="s">
        <v>245</v>
      </c>
      <c r="F97" s="30" t="s">
        <v>1043</v>
      </c>
      <c r="G97" s="30" t="s">
        <v>245</v>
      </c>
      <c r="H97" s="30" t="s">
        <v>245</v>
      </c>
      <c r="I97" s="30" t="s">
        <v>1044</v>
      </c>
      <c r="J97" s="30" t="s">
        <v>1045</v>
      </c>
      <c r="K97" s="30" t="s">
        <v>245</v>
      </c>
      <c r="L97" s="30" t="s">
        <v>245</v>
      </c>
      <c r="M97" s="30" t="s">
        <v>245</v>
      </c>
      <c r="N97" s="30" t="s">
        <v>245</v>
      </c>
      <c r="O97" s="30" t="s">
        <v>245</v>
      </c>
      <c r="P97" s="30" t="s">
        <v>245</v>
      </c>
      <c r="Q97" s="30" t="s">
        <v>245</v>
      </c>
      <c r="R97" s="30" t="s">
        <v>245</v>
      </c>
      <c r="S97" s="30" t="s">
        <v>245</v>
      </c>
      <c r="T97" s="30" t="s">
        <v>245</v>
      </c>
      <c r="U97" s="30" t="s">
        <v>245</v>
      </c>
      <c r="V97" s="30" t="s">
        <v>245</v>
      </c>
      <c r="W97" s="30" t="s">
        <v>245</v>
      </c>
      <c r="X97" s="30" t="s">
        <v>245</v>
      </c>
      <c r="Y97" s="30" t="s">
        <v>245</v>
      </c>
      <c r="Z97" s="30" t="s">
        <v>245</v>
      </c>
      <c r="AA97" s="30" t="s">
        <v>245</v>
      </c>
      <c r="AB97" s="30" t="s">
        <v>245</v>
      </c>
      <c r="AC97" s="30" t="s">
        <v>245</v>
      </c>
      <c r="AD97" s="30" t="s">
        <v>245</v>
      </c>
      <c r="AE97" s="30" t="s">
        <v>245</v>
      </c>
      <c r="AF97" s="30" t="s">
        <v>245</v>
      </c>
      <c r="AG97" s="30" t="s">
        <v>245</v>
      </c>
      <c r="AH97" s="30" t="s">
        <v>245</v>
      </c>
      <c r="AI97" s="30" t="s">
        <v>245</v>
      </c>
      <c r="AJ97" s="30" t="s">
        <v>245</v>
      </c>
      <c r="AK97" s="30" t="s">
        <v>245</v>
      </c>
      <c r="AL97" s="30" t="s">
        <v>245</v>
      </c>
      <c r="AM97" s="30" t="s">
        <v>245</v>
      </c>
      <c r="AN97" s="30" t="s">
        <v>245</v>
      </c>
      <c r="AO97" s="30" t="s">
        <v>1046</v>
      </c>
      <c r="AP97" s="30" t="s">
        <v>1047</v>
      </c>
      <c r="AQ97" s="30" t="s">
        <v>245</v>
      </c>
      <c r="AR97" s="30" t="s">
        <v>245</v>
      </c>
      <c r="AS97" s="30" t="s">
        <v>245</v>
      </c>
      <c r="AT97" s="30" t="s">
        <v>957</v>
      </c>
      <c r="AU97" s="30">
        <v>2023</v>
      </c>
      <c r="AV97" s="30">
        <v>321</v>
      </c>
      <c r="AW97" s="30" t="s">
        <v>245</v>
      </c>
      <c r="AX97" s="30" t="s">
        <v>245</v>
      </c>
      <c r="AY97" s="30" t="s">
        <v>245</v>
      </c>
      <c r="AZ97" s="30" t="s">
        <v>245</v>
      </c>
      <c r="BA97" s="30" t="s">
        <v>245</v>
      </c>
      <c r="BB97" s="30" t="s">
        <v>245</v>
      </c>
      <c r="BC97" s="30" t="s">
        <v>245</v>
      </c>
      <c r="BD97" s="30">
        <v>112264</v>
      </c>
      <c r="BE97" s="30" t="s">
        <v>1048</v>
      </c>
      <c r="BF97" s="30" t="str">
        <f>HYPERLINK("http://dx.doi.org/10.1016/j.scienta.2023.112264","http://dx.doi.org/10.1016/j.scienta.2023.112264")</f>
        <v>http://dx.doi.org/10.1016/j.scienta.2023.112264</v>
      </c>
      <c r="BG97" s="30" t="s">
        <v>245</v>
      </c>
      <c r="BH97" s="30" t="s">
        <v>1049</v>
      </c>
      <c r="BI97" s="30" t="s">
        <v>245</v>
      </c>
      <c r="BJ97" s="30" t="s">
        <v>245</v>
      </c>
      <c r="BK97" s="30" t="s">
        <v>245</v>
      </c>
      <c r="BL97" s="30" t="s">
        <v>245</v>
      </c>
      <c r="BM97" s="30" t="s">
        <v>245</v>
      </c>
      <c r="BN97" s="30" t="s">
        <v>245</v>
      </c>
      <c r="BO97" s="30" t="s">
        <v>245</v>
      </c>
      <c r="BP97" s="30" t="s">
        <v>245</v>
      </c>
      <c r="BQ97" s="30" t="s">
        <v>245</v>
      </c>
      <c r="BR97" s="30" t="s">
        <v>245</v>
      </c>
      <c r="BS97" s="30" t="s">
        <v>1050</v>
      </c>
      <c r="BT97" s="30" t="str">
        <f>HYPERLINK("https%3A%2F%2Fwww.webofscience.com%2Fwos%2Fwoscc%2Ffull-record%2FWOS:001036850500001","View Full Record in Web of Science")</f>
        <v>View Full Record in Web of Science</v>
      </c>
    </row>
    <row r="98" spans="1:72" x14ac:dyDescent="0.2">
      <c r="A98" s="30" t="s">
        <v>243</v>
      </c>
      <c r="B98" s="30" t="s">
        <v>1051</v>
      </c>
      <c r="C98" s="30" t="s">
        <v>245</v>
      </c>
      <c r="D98" s="30" t="s">
        <v>245</v>
      </c>
      <c r="E98" s="30" t="s">
        <v>245</v>
      </c>
      <c r="F98" s="30" t="s">
        <v>1052</v>
      </c>
      <c r="G98" s="30" t="s">
        <v>245</v>
      </c>
      <c r="H98" s="30" t="s">
        <v>245</v>
      </c>
      <c r="I98" s="30" t="s">
        <v>1053</v>
      </c>
      <c r="J98" s="30" t="s">
        <v>1054</v>
      </c>
      <c r="K98" s="30" t="s">
        <v>245</v>
      </c>
      <c r="L98" s="30" t="s">
        <v>245</v>
      </c>
      <c r="M98" s="30" t="s">
        <v>245</v>
      </c>
      <c r="N98" s="30" t="s">
        <v>245</v>
      </c>
      <c r="O98" s="30" t="s">
        <v>245</v>
      </c>
      <c r="P98" s="30" t="s">
        <v>245</v>
      </c>
      <c r="Q98" s="30" t="s">
        <v>245</v>
      </c>
      <c r="R98" s="30" t="s">
        <v>245</v>
      </c>
      <c r="S98" s="30" t="s">
        <v>245</v>
      </c>
      <c r="T98" s="30" t="s">
        <v>245</v>
      </c>
      <c r="U98" s="30" t="s">
        <v>245</v>
      </c>
      <c r="V98" s="30" t="s">
        <v>245</v>
      </c>
      <c r="W98" s="30" t="s">
        <v>245</v>
      </c>
      <c r="X98" s="30" t="s">
        <v>245</v>
      </c>
      <c r="Y98" s="30" t="s">
        <v>245</v>
      </c>
      <c r="Z98" s="30" t="s">
        <v>245</v>
      </c>
      <c r="AA98" s="30" t="s">
        <v>245</v>
      </c>
      <c r="AB98" s="30" t="s">
        <v>245</v>
      </c>
      <c r="AC98" s="30" t="s">
        <v>245</v>
      </c>
      <c r="AD98" s="30" t="s">
        <v>245</v>
      </c>
      <c r="AE98" s="30" t="s">
        <v>245</v>
      </c>
      <c r="AF98" s="30" t="s">
        <v>245</v>
      </c>
      <c r="AG98" s="30" t="s">
        <v>245</v>
      </c>
      <c r="AH98" s="30" t="s">
        <v>245</v>
      </c>
      <c r="AI98" s="30" t="s">
        <v>245</v>
      </c>
      <c r="AJ98" s="30" t="s">
        <v>245</v>
      </c>
      <c r="AK98" s="30" t="s">
        <v>245</v>
      </c>
      <c r="AL98" s="30" t="s">
        <v>245</v>
      </c>
      <c r="AM98" s="30" t="s">
        <v>245</v>
      </c>
      <c r="AN98" s="30" t="s">
        <v>245</v>
      </c>
      <c r="AO98" s="30" t="s">
        <v>1055</v>
      </c>
      <c r="AP98" s="30" t="s">
        <v>1056</v>
      </c>
      <c r="AQ98" s="30" t="s">
        <v>245</v>
      </c>
      <c r="AR98" s="30" t="s">
        <v>245</v>
      </c>
      <c r="AS98" s="30" t="s">
        <v>245</v>
      </c>
      <c r="AT98" s="30" t="s">
        <v>365</v>
      </c>
      <c r="AU98" s="30">
        <v>2016</v>
      </c>
      <c r="AV98" s="30">
        <v>36</v>
      </c>
      <c r="AW98" s="30">
        <v>1</v>
      </c>
      <c r="AX98" s="30" t="s">
        <v>245</v>
      </c>
      <c r="AY98" s="30" t="s">
        <v>245</v>
      </c>
      <c r="AZ98" s="30" t="s">
        <v>245</v>
      </c>
      <c r="BA98" s="30" t="s">
        <v>245</v>
      </c>
      <c r="BB98" s="30">
        <v>121</v>
      </c>
      <c r="BC98" s="30">
        <v>132</v>
      </c>
      <c r="BD98" s="30" t="s">
        <v>245</v>
      </c>
      <c r="BE98" s="30" t="s">
        <v>1057</v>
      </c>
      <c r="BF98" s="30" t="str">
        <f>HYPERLINK("http://dx.doi.org/10.1007/s13157-015-0722-7","http://dx.doi.org/10.1007/s13157-015-0722-7")</f>
        <v>http://dx.doi.org/10.1007/s13157-015-0722-7</v>
      </c>
      <c r="BG98" s="30" t="s">
        <v>245</v>
      </c>
      <c r="BH98" s="30" t="s">
        <v>245</v>
      </c>
      <c r="BI98" s="30" t="s">
        <v>245</v>
      </c>
      <c r="BJ98" s="30" t="s">
        <v>245</v>
      </c>
      <c r="BK98" s="30" t="s">
        <v>245</v>
      </c>
      <c r="BL98" s="30" t="s">
        <v>245</v>
      </c>
      <c r="BM98" s="30" t="s">
        <v>245</v>
      </c>
      <c r="BN98" s="30" t="s">
        <v>245</v>
      </c>
      <c r="BO98" s="30" t="s">
        <v>245</v>
      </c>
      <c r="BP98" s="30" t="s">
        <v>245</v>
      </c>
      <c r="BQ98" s="30" t="s">
        <v>245</v>
      </c>
      <c r="BR98" s="30" t="s">
        <v>245</v>
      </c>
      <c r="BS98" s="30" t="s">
        <v>1058</v>
      </c>
      <c r="BT98" s="30" t="str">
        <f>HYPERLINK("https%3A%2F%2Fwww.webofscience.com%2Fwos%2Fwoscc%2Ffull-record%2FWOS:000373644000011","View Full Record in Web of Science")</f>
        <v>View Full Record in Web of Science</v>
      </c>
    </row>
    <row r="99" spans="1:72" x14ac:dyDescent="0.2">
      <c r="A99" s="30" t="s">
        <v>243</v>
      </c>
      <c r="B99" s="30" t="s">
        <v>1059</v>
      </c>
      <c r="C99" s="30" t="s">
        <v>245</v>
      </c>
      <c r="D99" s="30" t="s">
        <v>245</v>
      </c>
      <c r="E99" s="30" t="s">
        <v>245</v>
      </c>
      <c r="F99" s="30" t="s">
        <v>1060</v>
      </c>
      <c r="G99" s="30" t="s">
        <v>245</v>
      </c>
      <c r="H99" s="30" t="s">
        <v>245</v>
      </c>
      <c r="I99" s="30" t="s">
        <v>62</v>
      </c>
      <c r="J99" s="30" t="s">
        <v>541</v>
      </c>
      <c r="K99" s="30" t="s">
        <v>245</v>
      </c>
      <c r="L99" s="30" t="s">
        <v>245</v>
      </c>
      <c r="M99" s="30" t="s">
        <v>245</v>
      </c>
      <c r="N99" s="30" t="s">
        <v>245</v>
      </c>
      <c r="O99" s="30" t="s">
        <v>245</v>
      </c>
      <c r="P99" s="30" t="s">
        <v>245</v>
      </c>
      <c r="Q99" s="30" t="s">
        <v>245</v>
      </c>
      <c r="R99" s="30" t="s">
        <v>245</v>
      </c>
      <c r="S99" s="30" t="s">
        <v>245</v>
      </c>
      <c r="T99" s="30" t="s">
        <v>245</v>
      </c>
      <c r="U99" s="30" t="s">
        <v>245</v>
      </c>
      <c r="V99" s="30" t="s">
        <v>245</v>
      </c>
      <c r="W99" s="30" t="s">
        <v>245</v>
      </c>
      <c r="X99" s="30" t="s">
        <v>245</v>
      </c>
      <c r="Y99" s="30" t="s">
        <v>245</v>
      </c>
      <c r="Z99" s="30" t="s">
        <v>245</v>
      </c>
      <c r="AA99" s="30" t="s">
        <v>1061</v>
      </c>
      <c r="AB99" s="30" t="s">
        <v>1062</v>
      </c>
      <c r="AC99" s="30" t="s">
        <v>245</v>
      </c>
      <c r="AD99" s="30" t="s">
        <v>245</v>
      </c>
      <c r="AE99" s="30" t="s">
        <v>245</v>
      </c>
      <c r="AF99" s="30" t="s">
        <v>245</v>
      </c>
      <c r="AG99" s="30" t="s">
        <v>245</v>
      </c>
      <c r="AH99" s="30" t="s">
        <v>245</v>
      </c>
      <c r="AI99" s="30" t="s">
        <v>245</v>
      </c>
      <c r="AJ99" s="30" t="s">
        <v>245</v>
      </c>
      <c r="AK99" s="30" t="s">
        <v>245</v>
      </c>
      <c r="AL99" s="30" t="s">
        <v>245</v>
      </c>
      <c r="AM99" s="30" t="s">
        <v>245</v>
      </c>
      <c r="AN99" s="30" t="s">
        <v>245</v>
      </c>
      <c r="AO99" s="30" t="s">
        <v>544</v>
      </c>
      <c r="AP99" s="30" t="s">
        <v>545</v>
      </c>
      <c r="AQ99" s="30" t="s">
        <v>245</v>
      </c>
      <c r="AR99" s="30" t="s">
        <v>245</v>
      </c>
      <c r="AS99" s="30" t="s">
        <v>245</v>
      </c>
      <c r="AT99" s="30" t="s">
        <v>1063</v>
      </c>
      <c r="AU99" s="30">
        <v>2016</v>
      </c>
      <c r="AV99" s="30">
        <v>230</v>
      </c>
      <c r="AW99" s="30" t="s">
        <v>245</v>
      </c>
      <c r="AX99" s="30" t="s">
        <v>245</v>
      </c>
      <c r="AY99" s="30" t="s">
        <v>245</v>
      </c>
      <c r="AZ99" s="30" t="s">
        <v>245</v>
      </c>
      <c r="BA99" s="30" t="s">
        <v>245</v>
      </c>
      <c r="BB99" s="30">
        <v>127</v>
      </c>
      <c r="BC99" s="30">
        <v>138</v>
      </c>
      <c r="BD99" s="30" t="s">
        <v>245</v>
      </c>
      <c r="BE99" s="30" t="s">
        <v>1064</v>
      </c>
      <c r="BF99" s="30" t="str">
        <f>HYPERLINK("http://dx.doi.org/10.1016/j.agee.2016.05.034","http://dx.doi.org/10.1016/j.agee.2016.05.034")</f>
        <v>http://dx.doi.org/10.1016/j.agee.2016.05.034</v>
      </c>
      <c r="BG99" s="30" t="s">
        <v>245</v>
      </c>
      <c r="BH99" s="30" t="s">
        <v>245</v>
      </c>
      <c r="BI99" s="30" t="s">
        <v>245</v>
      </c>
      <c r="BJ99" s="30" t="s">
        <v>245</v>
      </c>
      <c r="BK99" s="30" t="s">
        <v>245</v>
      </c>
      <c r="BL99" s="30" t="s">
        <v>245</v>
      </c>
      <c r="BM99" s="30" t="s">
        <v>245</v>
      </c>
      <c r="BN99" s="30" t="s">
        <v>245</v>
      </c>
      <c r="BO99" s="30" t="s">
        <v>245</v>
      </c>
      <c r="BP99" s="30" t="s">
        <v>245</v>
      </c>
      <c r="BQ99" s="30" t="s">
        <v>245</v>
      </c>
      <c r="BR99" s="30" t="s">
        <v>245</v>
      </c>
      <c r="BS99" s="30" t="s">
        <v>1065</v>
      </c>
      <c r="BT99" s="30" t="str">
        <f>HYPERLINK("https%3A%2F%2Fwww.webofscience.com%2Fwos%2Fwoscc%2Ffull-record%2FWOS:000381834500014","View Full Record in Web of Science")</f>
        <v>View Full Record in Web of Science</v>
      </c>
    </row>
    <row r="100" spans="1:72" x14ac:dyDescent="0.2">
      <c r="A100" s="30" t="s">
        <v>243</v>
      </c>
      <c r="B100" s="30" t="s">
        <v>1066</v>
      </c>
      <c r="C100" s="30" t="s">
        <v>245</v>
      </c>
      <c r="D100" s="30" t="s">
        <v>245</v>
      </c>
      <c r="E100" s="30" t="s">
        <v>245</v>
      </c>
      <c r="F100" s="30" t="s">
        <v>1067</v>
      </c>
      <c r="G100" s="30" t="s">
        <v>245</v>
      </c>
      <c r="H100" s="30" t="s">
        <v>245</v>
      </c>
      <c r="I100" s="30" t="s">
        <v>66</v>
      </c>
      <c r="J100" s="30" t="s">
        <v>1068</v>
      </c>
      <c r="K100" s="30" t="s">
        <v>245</v>
      </c>
      <c r="L100" s="30" t="s">
        <v>245</v>
      </c>
      <c r="M100" s="30" t="s">
        <v>245</v>
      </c>
      <c r="N100" s="30" t="s">
        <v>245</v>
      </c>
      <c r="O100" s="30" t="s">
        <v>245</v>
      </c>
      <c r="P100" s="30" t="s">
        <v>245</v>
      </c>
      <c r="Q100" s="30" t="s">
        <v>245</v>
      </c>
      <c r="R100" s="30" t="s">
        <v>245</v>
      </c>
      <c r="S100" s="30" t="s">
        <v>245</v>
      </c>
      <c r="T100" s="30" t="s">
        <v>245</v>
      </c>
      <c r="U100" s="30" t="s">
        <v>245</v>
      </c>
      <c r="V100" s="30" t="s">
        <v>245</v>
      </c>
      <c r="W100" s="30" t="s">
        <v>245</v>
      </c>
      <c r="X100" s="30" t="s">
        <v>245</v>
      </c>
      <c r="Y100" s="30" t="s">
        <v>245</v>
      </c>
      <c r="Z100" s="30" t="s">
        <v>245</v>
      </c>
      <c r="AA100" s="30" t="s">
        <v>1069</v>
      </c>
      <c r="AB100" s="30" t="s">
        <v>1070</v>
      </c>
      <c r="AC100" s="30" t="s">
        <v>245</v>
      </c>
      <c r="AD100" s="30" t="s">
        <v>245</v>
      </c>
      <c r="AE100" s="30" t="s">
        <v>245</v>
      </c>
      <c r="AF100" s="30" t="s">
        <v>245</v>
      </c>
      <c r="AG100" s="30" t="s">
        <v>245</v>
      </c>
      <c r="AH100" s="30" t="s">
        <v>245</v>
      </c>
      <c r="AI100" s="30" t="s">
        <v>245</v>
      </c>
      <c r="AJ100" s="30" t="s">
        <v>245</v>
      </c>
      <c r="AK100" s="30" t="s">
        <v>245</v>
      </c>
      <c r="AL100" s="30" t="s">
        <v>245</v>
      </c>
      <c r="AM100" s="30" t="s">
        <v>245</v>
      </c>
      <c r="AN100" s="30" t="s">
        <v>245</v>
      </c>
      <c r="AO100" s="30" t="s">
        <v>1071</v>
      </c>
      <c r="AP100" s="30" t="s">
        <v>1072</v>
      </c>
      <c r="AQ100" s="30" t="s">
        <v>245</v>
      </c>
      <c r="AR100" s="30" t="s">
        <v>245</v>
      </c>
      <c r="AS100" s="30" t="s">
        <v>245</v>
      </c>
      <c r="AT100" s="30" t="s">
        <v>286</v>
      </c>
      <c r="AU100" s="30">
        <v>2021</v>
      </c>
      <c r="AV100" s="30">
        <v>67</v>
      </c>
      <c r="AW100" s="30">
        <v>1</v>
      </c>
      <c r="AX100" s="30" t="s">
        <v>245</v>
      </c>
      <c r="AY100" s="30" t="s">
        <v>245</v>
      </c>
      <c r="AZ100" s="30" t="s">
        <v>245</v>
      </c>
      <c r="BA100" s="30" t="s">
        <v>245</v>
      </c>
      <c r="BB100" s="30">
        <v>63</v>
      </c>
      <c r="BC100" s="30">
        <v>72</v>
      </c>
      <c r="BD100" s="30" t="s">
        <v>245</v>
      </c>
      <c r="BE100" s="30" t="s">
        <v>1073</v>
      </c>
      <c r="BF100" s="30" t="str">
        <f>HYPERLINK("http://dx.doi.org/10.1111/grs.12287","http://dx.doi.org/10.1111/grs.12287")</f>
        <v>http://dx.doi.org/10.1111/grs.12287</v>
      </c>
      <c r="BG100" s="30" t="s">
        <v>245</v>
      </c>
      <c r="BH100" s="30" t="s">
        <v>1074</v>
      </c>
      <c r="BI100" s="30" t="s">
        <v>245</v>
      </c>
      <c r="BJ100" s="30" t="s">
        <v>245</v>
      </c>
      <c r="BK100" s="30" t="s">
        <v>245</v>
      </c>
      <c r="BL100" s="30" t="s">
        <v>245</v>
      </c>
      <c r="BM100" s="30" t="s">
        <v>245</v>
      </c>
      <c r="BN100" s="30" t="s">
        <v>245</v>
      </c>
      <c r="BO100" s="30" t="s">
        <v>245</v>
      </c>
      <c r="BP100" s="30" t="s">
        <v>245</v>
      </c>
      <c r="BQ100" s="30" t="s">
        <v>245</v>
      </c>
      <c r="BR100" s="30" t="s">
        <v>245</v>
      </c>
      <c r="BS100" s="30" t="s">
        <v>1075</v>
      </c>
      <c r="BT100" s="30" t="str">
        <f>HYPERLINK("https%3A%2F%2Fwww.webofscience.com%2Fwos%2Fwoscc%2Ffull-record%2FWOS:000537383800001","View Full Record in Web of Science")</f>
        <v>View Full Record in Web of Science</v>
      </c>
    </row>
    <row r="101" spans="1:72" x14ac:dyDescent="0.2">
      <c r="A101" s="30" t="s">
        <v>243</v>
      </c>
      <c r="B101" s="30" t="s">
        <v>1076</v>
      </c>
      <c r="C101" s="30" t="s">
        <v>245</v>
      </c>
      <c r="D101" s="30" t="s">
        <v>245</v>
      </c>
      <c r="E101" s="30" t="s">
        <v>245</v>
      </c>
      <c r="F101" s="30" t="s">
        <v>1076</v>
      </c>
      <c r="G101" s="30" t="s">
        <v>245</v>
      </c>
      <c r="H101" s="30" t="s">
        <v>245</v>
      </c>
      <c r="I101" s="30" t="s">
        <v>1077</v>
      </c>
      <c r="J101" s="30" t="s">
        <v>587</v>
      </c>
      <c r="K101" s="30" t="s">
        <v>245</v>
      </c>
      <c r="L101" s="30" t="s">
        <v>245</v>
      </c>
      <c r="M101" s="30" t="s">
        <v>245</v>
      </c>
      <c r="N101" s="30" t="s">
        <v>245</v>
      </c>
      <c r="O101" s="30" t="s">
        <v>245</v>
      </c>
      <c r="P101" s="30" t="s">
        <v>245</v>
      </c>
      <c r="Q101" s="30" t="s">
        <v>245</v>
      </c>
      <c r="R101" s="30" t="s">
        <v>245</v>
      </c>
      <c r="S101" s="30" t="s">
        <v>245</v>
      </c>
      <c r="T101" s="30" t="s">
        <v>245</v>
      </c>
      <c r="U101" s="30" t="s">
        <v>245</v>
      </c>
      <c r="V101" s="30" t="s">
        <v>245</v>
      </c>
      <c r="W101" s="30" t="s">
        <v>245</v>
      </c>
      <c r="X101" s="30" t="s">
        <v>245</v>
      </c>
      <c r="Y101" s="30" t="s">
        <v>245</v>
      </c>
      <c r="Z101" s="30" t="s">
        <v>245</v>
      </c>
      <c r="AA101" s="30" t="s">
        <v>1078</v>
      </c>
      <c r="AB101" s="30" t="s">
        <v>1079</v>
      </c>
      <c r="AC101" s="30" t="s">
        <v>245</v>
      </c>
      <c r="AD101" s="30" t="s">
        <v>245</v>
      </c>
      <c r="AE101" s="30" t="s">
        <v>245</v>
      </c>
      <c r="AF101" s="30" t="s">
        <v>245</v>
      </c>
      <c r="AG101" s="30" t="s">
        <v>245</v>
      </c>
      <c r="AH101" s="30" t="s">
        <v>245</v>
      </c>
      <c r="AI101" s="30" t="s">
        <v>245</v>
      </c>
      <c r="AJ101" s="30" t="s">
        <v>245</v>
      </c>
      <c r="AK101" s="30" t="s">
        <v>245</v>
      </c>
      <c r="AL101" s="30" t="s">
        <v>245</v>
      </c>
      <c r="AM101" s="30" t="s">
        <v>245</v>
      </c>
      <c r="AN101" s="30" t="s">
        <v>245</v>
      </c>
      <c r="AO101" s="30" t="s">
        <v>590</v>
      </c>
      <c r="AP101" s="30" t="s">
        <v>591</v>
      </c>
      <c r="AQ101" s="30" t="s">
        <v>245</v>
      </c>
      <c r="AR101" s="30" t="s">
        <v>245</v>
      </c>
      <c r="AS101" s="30" t="s">
        <v>245</v>
      </c>
      <c r="AT101" s="30" t="s">
        <v>365</v>
      </c>
      <c r="AU101" s="30">
        <v>2003</v>
      </c>
      <c r="AV101" s="30">
        <v>166</v>
      </c>
      <c r="AW101" s="30">
        <v>1</v>
      </c>
      <c r="AX101" s="30" t="s">
        <v>245</v>
      </c>
      <c r="AY101" s="30" t="s">
        <v>245</v>
      </c>
      <c r="AZ101" s="30" t="s">
        <v>245</v>
      </c>
      <c r="BA101" s="30" t="s">
        <v>245</v>
      </c>
      <c r="BB101" s="30">
        <v>39</v>
      </c>
      <c r="BC101" s="30">
        <v>45</v>
      </c>
      <c r="BD101" s="30" t="s">
        <v>245</v>
      </c>
      <c r="BE101" s="30" t="s">
        <v>1080</v>
      </c>
      <c r="BF101" s="30" t="str">
        <f>HYPERLINK("http://dx.doi.org/10.1002/jpln.200390010","http://dx.doi.org/10.1002/jpln.200390010")</f>
        <v>http://dx.doi.org/10.1002/jpln.200390010</v>
      </c>
      <c r="BG101" s="30" t="s">
        <v>245</v>
      </c>
      <c r="BH101" s="30" t="s">
        <v>245</v>
      </c>
      <c r="BI101" s="30" t="s">
        <v>245</v>
      </c>
      <c r="BJ101" s="30" t="s">
        <v>245</v>
      </c>
      <c r="BK101" s="30" t="s">
        <v>245</v>
      </c>
      <c r="BL101" s="30" t="s">
        <v>245</v>
      </c>
      <c r="BM101" s="30" t="s">
        <v>245</v>
      </c>
      <c r="BN101" s="30" t="s">
        <v>245</v>
      </c>
      <c r="BO101" s="30" t="s">
        <v>245</v>
      </c>
      <c r="BP101" s="30" t="s">
        <v>245</v>
      </c>
      <c r="BQ101" s="30" t="s">
        <v>245</v>
      </c>
      <c r="BR101" s="30" t="s">
        <v>245</v>
      </c>
      <c r="BS101" s="30" t="s">
        <v>1081</v>
      </c>
      <c r="BT101" s="30" t="str">
        <f>HYPERLINK("https%3A%2F%2Fwww.webofscience.com%2Fwos%2Fwoscc%2Ffull-record%2FWOS:000181461600005","View Full Record in Web of Science")</f>
        <v>View Full Record in Web of Science</v>
      </c>
    </row>
    <row r="102" spans="1:72" x14ac:dyDescent="0.2">
      <c r="A102" s="30" t="s">
        <v>243</v>
      </c>
      <c r="B102" s="30" t="s">
        <v>1082</v>
      </c>
      <c r="C102" s="30" t="s">
        <v>245</v>
      </c>
      <c r="D102" s="30" t="s">
        <v>245</v>
      </c>
      <c r="E102" s="30" t="s">
        <v>245</v>
      </c>
      <c r="F102" s="30" t="s">
        <v>1083</v>
      </c>
      <c r="G102" s="30" t="s">
        <v>245</v>
      </c>
      <c r="H102" s="30" t="s">
        <v>245</v>
      </c>
      <c r="I102" s="30" t="s">
        <v>1084</v>
      </c>
      <c r="J102" s="30" t="s">
        <v>402</v>
      </c>
      <c r="K102" s="30" t="s">
        <v>245</v>
      </c>
      <c r="L102" s="30" t="s">
        <v>245</v>
      </c>
      <c r="M102" s="30" t="s">
        <v>245</v>
      </c>
      <c r="N102" s="30" t="s">
        <v>245</v>
      </c>
      <c r="O102" s="30" t="s">
        <v>245</v>
      </c>
      <c r="P102" s="30" t="s">
        <v>245</v>
      </c>
      <c r="Q102" s="30" t="s">
        <v>245</v>
      </c>
      <c r="R102" s="30" t="s">
        <v>245</v>
      </c>
      <c r="S102" s="30" t="s">
        <v>245</v>
      </c>
      <c r="T102" s="30" t="s">
        <v>245</v>
      </c>
      <c r="U102" s="30" t="s">
        <v>245</v>
      </c>
      <c r="V102" s="30" t="s">
        <v>245</v>
      </c>
      <c r="W102" s="30" t="s">
        <v>245</v>
      </c>
      <c r="X102" s="30" t="s">
        <v>245</v>
      </c>
      <c r="Y102" s="30" t="s">
        <v>245</v>
      </c>
      <c r="Z102" s="30" t="s">
        <v>245</v>
      </c>
      <c r="AA102" s="30" t="s">
        <v>1085</v>
      </c>
      <c r="AB102" s="30" t="s">
        <v>1086</v>
      </c>
      <c r="AC102" s="30" t="s">
        <v>245</v>
      </c>
      <c r="AD102" s="30" t="s">
        <v>245</v>
      </c>
      <c r="AE102" s="30" t="s">
        <v>245</v>
      </c>
      <c r="AF102" s="30" t="s">
        <v>245</v>
      </c>
      <c r="AG102" s="30" t="s">
        <v>245</v>
      </c>
      <c r="AH102" s="30" t="s">
        <v>245</v>
      </c>
      <c r="AI102" s="30" t="s">
        <v>245</v>
      </c>
      <c r="AJ102" s="30" t="s">
        <v>245</v>
      </c>
      <c r="AK102" s="30" t="s">
        <v>245</v>
      </c>
      <c r="AL102" s="30" t="s">
        <v>245</v>
      </c>
      <c r="AM102" s="30" t="s">
        <v>245</v>
      </c>
      <c r="AN102" s="30" t="s">
        <v>245</v>
      </c>
      <c r="AO102" s="30" t="s">
        <v>405</v>
      </c>
      <c r="AP102" s="30" t="s">
        <v>406</v>
      </c>
      <c r="AQ102" s="30" t="s">
        <v>245</v>
      </c>
      <c r="AR102" s="30" t="s">
        <v>245</v>
      </c>
      <c r="AS102" s="30" t="s">
        <v>245</v>
      </c>
      <c r="AT102" s="30" t="s">
        <v>286</v>
      </c>
      <c r="AU102" s="30">
        <v>2014</v>
      </c>
      <c r="AV102" s="30">
        <v>14</v>
      </c>
      <c r="AW102" s="30">
        <v>1</v>
      </c>
      <c r="AX102" s="30" t="s">
        <v>245</v>
      </c>
      <c r="AY102" s="30" t="s">
        <v>245</v>
      </c>
      <c r="AZ102" s="30" t="s">
        <v>245</v>
      </c>
      <c r="BA102" s="30" t="s">
        <v>245</v>
      </c>
      <c r="BB102" s="30">
        <v>146</v>
      </c>
      <c r="BC102" s="30">
        <v>154</v>
      </c>
      <c r="BD102" s="30" t="s">
        <v>245</v>
      </c>
      <c r="BE102" s="30" t="s">
        <v>1087</v>
      </c>
      <c r="BF102" s="30" t="str">
        <f>HYPERLINK("http://dx.doi.org/10.1007/s11368-013-0785-0","http://dx.doi.org/10.1007/s11368-013-0785-0")</f>
        <v>http://dx.doi.org/10.1007/s11368-013-0785-0</v>
      </c>
      <c r="BG102" s="30" t="s">
        <v>245</v>
      </c>
      <c r="BH102" s="30" t="s">
        <v>245</v>
      </c>
      <c r="BI102" s="30" t="s">
        <v>245</v>
      </c>
      <c r="BJ102" s="30" t="s">
        <v>245</v>
      </c>
      <c r="BK102" s="30" t="s">
        <v>245</v>
      </c>
      <c r="BL102" s="30" t="s">
        <v>245</v>
      </c>
      <c r="BM102" s="30" t="s">
        <v>245</v>
      </c>
      <c r="BN102" s="30" t="s">
        <v>245</v>
      </c>
      <c r="BO102" s="30" t="s">
        <v>245</v>
      </c>
      <c r="BP102" s="30" t="s">
        <v>245</v>
      </c>
      <c r="BQ102" s="30" t="s">
        <v>245</v>
      </c>
      <c r="BR102" s="30" t="s">
        <v>245</v>
      </c>
      <c r="BS102" s="30" t="s">
        <v>1088</v>
      </c>
      <c r="BT102" s="30" t="str">
        <f>HYPERLINK("https%3A%2F%2Fwww.webofscience.com%2Fwos%2Fwoscc%2Ffull-record%2FWOS:000330398600013","View Full Record in Web of Science")</f>
        <v>View Full Record in Web of Science</v>
      </c>
    </row>
    <row r="103" spans="1:72" x14ac:dyDescent="0.2">
      <c r="A103" s="30" t="s">
        <v>243</v>
      </c>
      <c r="B103" s="30" t="s">
        <v>1089</v>
      </c>
      <c r="C103" s="30" t="s">
        <v>245</v>
      </c>
      <c r="D103" s="30" t="s">
        <v>245</v>
      </c>
      <c r="E103" s="30" t="s">
        <v>245</v>
      </c>
      <c r="F103" s="30" t="s">
        <v>1090</v>
      </c>
      <c r="G103" s="30" t="s">
        <v>245</v>
      </c>
      <c r="H103" s="30" t="s">
        <v>245</v>
      </c>
      <c r="I103" s="30" t="s">
        <v>1091</v>
      </c>
      <c r="J103" s="30" t="s">
        <v>1092</v>
      </c>
      <c r="K103" s="30" t="s">
        <v>245</v>
      </c>
      <c r="L103" s="30" t="s">
        <v>245</v>
      </c>
      <c r="M103" s="30" t="s">
        <v>245</v>
      </c>
      <c r="N103" s="30" t="s">
        <v>245</v>
      </c>
      <c r="O103" s="30" t="s">
        <v>245</v>
      </c>
      <c r="P103" s="30" t="s">
        <v>245</v>
      </c>
      <c r="Q103" s="30" t="s">
        <v>245</v>
      </c>
      <c r="R103" s="30" t="s">
        <v>245</v>
      </c>
      <c r="S103" s="30" t="s">
        <v>245</v>
      </c>
      <c r="T103" s="30" t="s">
        <v>245</v>
      </c>
      <c r="U103" s="30" t="s">
        <v>245</v>
      </c>
      <c r="V103" s="30" t="s">
        <v>245</v>
      </c>
      <c r="W103" s="30" t="s">
        <v>245</v>
      </c>
      <c r="X103" s="30" t="s">
        <v>245</v>
      </c>
      <c r="Y103" s="30" t="s">
        <v>245</v>
      </c>
      <c r="Z103" s="30" t="s">
        <v>245</v>
      </c>
      <c r="AA103" s="30" t="s">
        <v>1093</v>
      </c>
      <c r="AB103" s="30" t="s">
        <v>1094</v>
      </c>
      <c r="AC103" s="30" t="s">
        <v>245</v>
      </c>
      <c r="AD103" s="30" t="s">
        <v>245</v>
      </c>
      <c r="AE103" s="30" t="s">
        <v>245</v>
      </c>
      <c r="AF103" s="30" t="s">
        <v>245</v>
      </c>
      <c r="AG103" s="30" t="s">
        <v>245</v>
      </c>
      <c r="AH103" s="30" t="s">
        <v>245</v>
      </c>
      <c r="AI103" s="30" t="s">
        <v>245</v>
      </c>
      <c r="AJ103" s="30" t="s">
        <v>245</v>
      </c>
      <c r="AK103" s="30" t="s">
        <v>245</v>
      </c>
      <c r="AL103" s="30" t="s">
        <v>245</v>
      </c>
      <c r="AM103" s="30" t="s">
        <v>245</v>
      </c>
      <c r="AN103" s="30" t="s">
        <v>245</v>
      </c>
      <c r="AO103" s="30" t="s">
        <v>1095</v>
      </c>
      <c r="AP103" s="30" t="s">
        <v>1096</v>
      </c>
      <c r="AQ103" s="30" t="s">
        <v>245</v>
      </c>
      <c r="AR103" s="30" t="s">
        <v>245</v>
      </c>
      <c r="AS103" s="30" t="s">
        <v>245</v>
      </c>
      <c r="AT103" s="30" t="s">
        <v>286</v>
      </c>
      <c r="AU103" s="30">
        <v>2023</v>
      </c>
      <c r="AV103" s="30">
        <v>115</v>
      </c>
      <c r="AW103" s="30">
        <v>1</v>
      </c>
      <c r="AX103" s="30" t="s">
        <v>245</v>
      </c>
      <c r="AY103" s="30" t="s">
        <v>245</v>
      </c>
      <c r="AZ103" s="30" t="s">
        <v>245</v>
      </c>
      <c r="BA103" s="30" t="s">
        <v>245</v>
      </c>
      <c r="BB103" s="30">
        <v>161</v>
      </c>
      <c r="BC103" s="30">
        <v>180</v>
      </c>
      <c r="BD103" s="30" t="s">
        <v>245</v>
      </c>
      <c r="BE103" s="30" t="s">
        <v>1097</v>
      </c>
      <c r="BF103" s="30" t="str">
        <f>HYPERLINK("http://dx.doi.org/10.1002/agj2.21213","http://dx.doi.org/10.1002/agj2.21213")</f>
        <v>http://dx.doi.org/10.1002/agj2.21213</v>
      </c>
      <c r="BG103" s="30" t="s">
        <v>245</v>
      </c>
      <c r="BH103" s="30" t="s">
        <v>1098</v>
      </c>
      <c r="BI103" s="30" t="s">
        <v>245</v>
      </c>
      <c r="BJ103" s="30" t="s">
        <v>245</v>
      </c>
      <c r="BK103" s="30" t="s">
        <v>245</v>
      </c>
      <c r="BL103" s="30" t="s">
        <v>245</v>
      </c>
      <c r="BM103" s="30" t="s">
        <v>245</v>
      </c>
      <c r="BN103" s="30" t="s">
        <v>245</v>
      </c>
      <c r="BO103" s="30" t="s">
        <v>245</v>
      </c>
      <c r="BP103" s="30" t="s">
        <v>245</v>
      </c>
      <c r="BQ103" s="30" t="s">
        <v>245</v>
      </c>
      <c r="BR103" s="30" t="s">
        <v>245</v>
      </c>
      <c r="BS103" s="30" t="s">
        <v>1099</v>
      </c>
      <c r="BT103" s="30" t="str">
        <f>HYPERLINK("https%3A%2F%2Fwww.webofscience.com%2Fwos%2Fwoscc%2Ffull-record%2FWOS:000911994800001","View Full Record in Web of Science")</f>
        <v>View Full Record in Web of Science</v>
      </c>
    </row>
    <row r="104" spans="1:72" x14ac:dyDescent="0.2">
      <c r="A104" s="30" t="s">
        <v>243</v>
      </c>
      <c r="B104" s="30" t="s">
        <v>1100</v>
      </c>
      <c r="C104" s="30" t="s">
        <v>245</v>
      </c>
      <c r="D104" s="30" t="s">
        <v>245</v>
      </c>
      <c r="E104" s="30" t="s">
        <v>245</v>
      </c>
      <c r="F104" s="30" t="s">
        <v>1101</v>
      </c>
      <c r="G104" s="30" t="s">
        <v>245</v>
      </c>
      <c r="H104" s="30" t="s">
        <v>245</v>
      </c>
      <c r="I104" s="30" t="s">
        <v>1102</v>
      </c>
      <c r="J104" s="30" t="s">
        <v>413</v>
      </c>
      <c r="K104" s="30" t="s">
        <v>245</v>
      </c>
      <c r="L104" s="30" t="s">
        <v>245</v>
      </c>
      <c r="M104" s="30" t="s">
        <v>245</v>
      </c>
      <c r="N104" s="30" t="s">
        <v>245</v>
      </c>
      <c r="O104" s="30" t="s">
        <v>245</v>
      </c>
      <c r="P104" s="30" t="s">
        <v>245</v>
      </c>
      <c r="Q104" s="30" t="s">
        <v>245</v>
      </c>
      <c r="R104" s="30" t="s">
        <v>245</v>
      </c>
      <c r="S104" s="30" t="s">
        <v>245</v>
      </c>
      <c r="T104" s="30" t="s">
        <v>245</v>
      </c>
      <c r="U104" s="30" t="s">
        <v>245</v>
      </c>
      <c r="V104" s="30" t="s">
        <v>245</v>
      </c>
      <c r="W104" s="30" t="s">
        <v>245</v>
      </c>
      <c r="X104" s="30" t="s">
        <v>245</v>
      </c>
      <c r="Y104" s="30" t="s">
        <v>245</v>
      </c>
      <c r="Z104" s="30" t="s">
        <v>245</v>
      </c>
      <c r="AA104" s="30" t="s">
        <v>1103</v>
      </c>
      <c r="AB104" s="30" t="s">
        <v>1104</v>
      </c>
      <c r="AC104" s="30" t="s">
        <v>245</v>
      </c>
      <c r="AD104" s="30" t="s">
        <v>245</v>
      </c>
      <c r="AE104" s="30" t="s">
        <v>245</v>
      </c>
      <c r="AF104" s="30" t="s">
        <v>245</v>
      </c>
      <c r="AG104" s="30" t="s">
        <v>245</v>
      </c>
      <c r="AH104" s="30" t="s">
        <v>245</v>
      </c>
      <c r="AI104" s="30" t="s">
        <v>245</v>
      </c>
      <c r="AJ104" s="30" t="s">
        <v>245</v>
      </c>
      <c r="AK104" s="30" t="s">
        <v>245</v>
      </c>
      <c r="AL104" s="30" t="s">
        <v>245</v>
      </c>
      <c r="AM104" s="30" t="s">
        <v>245</v>
      </c>
      <c r="AN104" s="30" t="s">
        <v>245</v>
      </c>
      <c r="AO104" s="30" t="s">
        <v>416</v>
      </c>
      <c r="AP104" s="30" t="s">
        <v>417</v>
      </c>
      <c r="AQ104" s="30" t="s">
        <v>245</v>
      </c>
      <c r="AR104" s="30" t="s">
        <v>245</v>
      </c>
      <c r="AS104" s="30" t="s">
        <v>245</v>
      </c>
      <c r="AT104" s="30" t="s">
        <v>1105</v>
      </c>
      <c r="AU104" s="30">
        <v>2024</v>
      </c>
      <c r="AV104" s="30">
        <v>908</v>
      </c>
      <c r="AW104" s="30" t="s">
        <v>245</v>
      </c>
      <c r="AX104" s="30" t="s">
        <v>245</v>
      </c>
      <c r="AY104" s="30" t="s">
        <v>245</v>
      </c>
      <c r="AZ104" s="30" t="s">
        <v>245</v>
      </c>
      <c r="BA104" s="30" t="s">
        <v>245</v>
      </c>
      <c r="BB104" s="30" t="s">
        <v>245</v>
      </c>
      <c r="BC104" s="30" t="s">
        <v>245</v>
      </c>
      <c r="BD104" s="30">
        <v>168041</v>
      </c>
      <c r="BE104" s="30" t="s">
        <v>1106</v>
      </c>
      <c r="BF104" s="30" t="str">
        <f>HYPERLINK("http://dx.doi.org/10.1016/j.scitotenv.2023.168041","http://dx.doi.org/10.1016/j.scitotenv.2023.168041")</f>
        <v>http://dx.doi.org/10.1016/j.scitotenv.2023.168041</v>
      </c>
      <c r="BG104" s="30" t="s">
        <v>245</v>
      </c>
      <c r="BH104" s="30" t="s">
        <v>321</v>
      </c>
      <c r="BI104" s="30" t="s">
        <v>245</v>
      </c>
      <c r="BJ104" s="30" t="s">
        <v>245</v>
      </c>
      <c r="BK104" s="30" t="s">
        <v>245</v>
      </c>
      <c r="BL104" s="30" t="s">
        <v>245</v>
      </c>
      <c r="BM104" s="30" t="s">
        <v>245</v>
      </c>
      <c r="BN104" s="30">
        <v>37898206</v>
      </c>
      <c r="BO104" s="30" t="s">
        <v>245</v>
      </c>
      <c r="BP104" s="30" t="s">
        <v>245</v>
      </c>
      <c r="BQ104" s="30" t="s">
        <v>245</v>
      </c>
      <c r="BR104" s="30" t="s">
        <v>245</v>
      </c>
      <c r="BS104" s="30" t="s">
        <v>1107</v>
      </c>
      <c r="BT104" s="30" t="str">
        <f>HYPERLINK("https%3A%2F%2Fwww.webofscience.com%2Fwos%2Fwoscc%2Ffull-record%2FWOS:001109772700001","View Full Record in Web of Science")</f>
        <v>View Full Record in Web of Science</v>
      </c>
    </row>
    <row r="105" spans="1:72" x14ac:dyDescent="0.2">
      <c r="A105" s="30" t="s">
        <v>243</v>
      </c>
      <c r="B105" s="30" t="s">
        <v>1108</v>
      </c>
      <c r="C105" s="30" t="s">
        <v>245</v>
      </c>
      <c r="D105" s="30" t="s">
        <v>245</v>
      </c>
      <c r="E105" s="30" t="s">
        <v>245</v>
      </c>
      <c r="F105" s="30" t="s">
        <v>1108</v>
      </c>
      <c r="G105" s="30" t="s">
        <v>245</v>
      </c>
      <c r="H105" s="30" t="s">
        <v>245</v>
      </c>
      <c r="I105" s="30" t="s">
        <v>1109</v>
      </c>
      <c r="J105" s="30" t="s">
        <v>350</v>
      </c>
      <c r="K105" s="30" t="s">
        <v>245</v>
      </c>
      <c r="L105" s="30" t="s">
        <v>245</v>
      </c>
      <c r="M105" s="30" t="s">
        <v>245</v>
      </c>
      <c r="N105" s="30" t="s">
        <v>245</v>
      </c>
      <c r="O105" s="30" t="s">
        <v>1110</v>
      </c>
      <c r="P105" s="30" t="s">
        <v>1111</v>
      </c>
      <c r="Q105" s="30" t="s">
        <v>1112</v>
      </c>
      <c r="R105" s="30" t="s">
        <v>245</v>
      </c>
      <c r="S105" s="30" t="s">
        <v>245</v>
      </c>
      <c r="T105" s="30" t="s">
        <v>245</v>
      </c>
      <c r="U105" s="30" t="s">
        <v>245</v>
      </c>
      <c r="V105" s="30" t="s">
        <v>245</v>
      </c>
      <c r="W105" s="30" t="s">
        <v>245</v>
      </c>
      <c r="X105" s="30" t="s">
        <v>245</v>
      </c>
      <c r="Y105" s="30" t="s">
        <v>245</v>
      </c>
      <c r="Z105" s="30" t="s">
        <v>245</v>
      </c>
      <c r="AA105" s="30" t="s">
        <v>245</v>
      </c>
      <c r="AB105" s="30" t="s">
        <v>245</v>
      </c>
      <c r="AC105" s="30" t="s">
        <v>245</v>
      </c>
      <c r="AD105" s="30" t="s">
        <v>245</v>
      </c>
      <c r="AE105" s="30" t="s">
        <v>245</v>
      </c>
      <c r="AF105" s="30" t="s">
        <v>245</v>
      </c>
      <c r="AG105" s="30" t="s">
        <v>245</v>
      </c>
      <c r="AH105" s="30" t="s">
        <v>245</v>
      </c>
      <c r="AI105" s="30" t="s">
        <v>245</v>
      </c>
      <c r="AJ105" s="30" t="s">
        <v>245</v>
      </c>
      <c r="AK105" s="30" t="s">
        <v>245</v>
      </c>
      <c r="AL105" s="30" t="s">
        <v>245</v>
      </c>
      <c r="AM105" s="30" t="s">
        <v>245</v>
      </c>
      <c r="AN105" s="30" t="s">
        <v>245</v>
      </c>
      <c r="AO105" s="30" t="s">
        <v>352</v>
      </c>
      <c r="AP105" s="30" t="s">
        <v>353</v>
      </c>
      <c r="AQ105" s="30" t="s">
        <v>245</v>
      </c>
      <c r="AR105" s="30" t="s">
        <v>245</v>
      </c>
      <c r="AS105" s="30" t="s">
        <v>245</v>
      </c>
      <c r="AT105" s="30" t="s">
        <v>286</v>
      </c>
      <c r="AU105" s="30">
        <v>2001</v>
      </c>
      <c r="AV105" s="30">
        <v>42</v>
      </c>
      <c r="AW105" s="30">
        <v>2</v>
      </c>
      <c r="AX105" s="30" t="s">
        <v>245</v>
      </c>
      <c r="AY105" s="30" t="s">
        <v>245</v>
      </c>
      <c r="AZ105" s="30" t="s">
        <v>298</v>
      </c>
      <c r="BA105" s="30" t="s">
        <v>245</v>
      </c>
      <c r="BB105" s="30">
        <v>113</v>
      </c>
      <c r="BC105" s="30">
        <v>121</v>
      </c>
      <c r="BD105" s="30" t="s">
        <v>245</v>
      </c>
      <c r="BE105" s="30" t="s">
        <v>1113</v>
      </c>
      <c r="BF105" s="30" t="str">
        <f>HYPERLINK("http://dx.doi.org/10.1016/S0045-6535(00)00116-8","http://dx.doi.org/10.1016/S0045-6535(00)00116-8")</f>
        <v>http://dx.doi.org/10.1016/S0045-6535(00)00116-8</v>
      </c>
      <c r="BG105" s="30" t="s">
        <v>245</v>
      </c>
      <c r="BH105" s="30" t="s">
        <v>245</v>
      </c>
      <c r="BI105" s="30" t="s">
        <v>245</v>
      </c>
      <c r="BJ105" s="30" t="s">
        <v>245</v>
      </c>
      <c r="BK105" s="30" t="s">
        <v>245</v>
      </c>
      <c r="BL105" s="30" t="s">
        <v>245</v>
      </c>
      <c r="BM105" s="30" t="s">
        <v>245</v>
      </c>
      <c r="BN105" s="30">
        <v>11237289</v>
      </c>
      <c r="BO105" s="30" t="s">
        <v>245</v>
      </c>
      <c r="BP105" s="30" t="s">
        <v>245</v>
      </c>
      <c r="BQ105" s="30" t="s">
        <v>245</v>
      </c>
      <c r="BR105" s="30" t="s">
        <v>245</v>
      </c>
      <c r="BS105" s="30" t="s">
        <v>1114</v>
      </c>
      <c r="BT105" s="30" t="str">
        <f>HYPERLINK("https%3A%2F%2Fwww.webofscience.com%2Fwos%2Fwoscc%2Ffull-record%2FWOS:000089930600003","View Full Record in Web of Science")</f>
        <v>View Full Record in Web of Science</v>
      </c>
    </row>
    <row r="106" spans="1:72" x14ac:dyDescent="0.2">
      <c r="A106" s="30" t="s">
        <v>243</v>
      </c>
      <c r="B106" s="30" t="s">
        <v>1115</v>
      </c>
      <c r="C106" s="30" t="s">
        <v>245</v>
      </c>
      <c r="D106" s="30" t="s">
        <v>245</v>
      </c>
      <c r="E106" s="30" t="s">
        <v>245</v>
      </c>
      <c r="F106" s="30" t="s">
        <v>1115</v>
      </c>
      <c r="G106" s="30" t="s">
        <v>245</v>
      </c>
      <c r="H106" s="30" t="s">
        <v>245</v>
      </c>
      <c r="I106" s="30" t="s">
        <v>1116</v>
      </c>
      <c r="J106" s="30" t="s">
        <v>336</v>
      </c>
      <c r="K106" s="30" t="s">
        <v>245</v>
      </c>
      <c r="L106" s="30" t="s">
        <v>245</v>
      </c>
      <c r="M106" s="30" t="s">
        <v>245</v>
      </c>
      <c r="N106" s="30" t="s">
        <v>245</v>
      </c>
      <c r="O106" s="30" t="s">
        <v>245</v>
      </c>
      <c r="P106" s="30" t="s">
        <v>245</v>
      </c>
      <c r="Q106" s="30" t="s">
        <v>245</v>
      </c>
      <c r="R106" s="30" t="s">
        <v>245</v>
      </c>
      <c r="S106" s="30" t="s">
        <v>245</v>
      </c>
      <c r="T106" s="30" t="s">
        <v>245</v>
      </c>
      <c r="U106" s="30" t="s">
        <v>245</v>
      </c>
      <c r="V106" s="30" t="s">
        <v>245</v>
      </c>
      <c r="W106" s="30" t="s">
        <v>245</v>
      </c>
      <c r="X106" s="30" t="s">
        <v>245</v>
      </c>
      <c r="Y106" s="30" t="s">
        <v>245</v>
      </c>
      <c r="Z106" s="30" t="s">
        <v>245</v>
      </c>
      <c r="AA106" s="30" t="s">
        <v>342</v>
      </c>
      <c r="AB106" s="30" t="s">
        <v>245</v>
      </c>
      <c r="AC106" s="30" t="s">
        <v>245</v>
      </c>
      <c r="AD106" s="30" t="s">
        <v>245</v>
      </c>
      <c r="AE106" s="30" t="s">
        <v>245</v>
      </c>
      <c r="AF106" s="30" t="s">
        <v>245</v>
      </c>
      <c r="AG106" s="30" t="s">
        <v>245</v>
      </c>
      <c r="AH106" s="30" t="s">
        <v>245</v>
      </c>
      <c r="AI106" s="30" t="s">
        <v>245</v>
      </c>
      <c r="AJ106" s="30" t="s">
        <v>245</v>
      </c>
      <c r="AK106" s="30" t="s">
        <v>245</v>
      </c>
      <c r="AL106" s="30" t="s">
        <v>245</v>
      </c>
      <c r="AM106" s="30" t="s">
        <v>245</v>
      </c>
      <c r="AN106" s="30" t="s">
        <v>245</v>
      </c>
      <c r="AO106" s="30" t="s">
        <v>343</v>
      </c>
      <c r="AP106" s="30" t="s">
        <v>245</v>
      </c>
      <c r="AQ106" s="30" t="s">
        <v>245</v>
      </c>
      <c r="AR106" s="30" t="s">
        <v>245</v>
      </c>
      <c r="AS106" s="30" t="s">
        <v>245</v>
      </c>
      <c r="AT106" s="30" t="s">
        <v>435</v>
      </c>
      <c r="AU106" s="30">
        <v>2000</v>
      </c>
      <c r="AV106" s="30">
        <v>57</v>
      </c>
      <c r="AW106" s="30">
        <v>1</v>
      </c>
      <c r="AX106" s="30" t="s">
        <v>245</v>
      </c>
      <c r="AY106" s="30" t="s">
        <v>245</v>
      </c>
      <c r="AZ106" s="30" t="s">
        <v>245</v>
      </c>
      <c r="BA106" s="30" t="s">
        <v>245</v>
      </c>
      <c r="BB106" s="30">
        <v>83</v>
      </c>
      <c r="BC106" s="30">
        <v>98</v>
      </c>
      <c r="BD106" s="30" t="s">
        <v>245</v>
      </c>
      <c r="BE106" s="30" t="s">
        <v>1117</v>
      </c>
      <c r="BF106" s="30" t="str">
        <f>HYPERLINK("http://dx.doi.org/10.1023/A:1009760220265","http://dx.doi.org/10.1023/A:1009760220265")</f>
        <v>http://dx.doi.org/10.1023/A:1009760220265</v>
      </c>
      <c r="BG106" s="30" t="s">
        <v>245</v>
      </c>
      <c r="BH106" s="30" t="s">
        <v>245</v>
      </c>
      <c r="BI106" s="30" t="s">
        <v>245</v>
      </c>
      <c r="BJ106" s="30" t="s">
        <v>245</v>
      </c>
      <c r="BK106" s="30" t="s">
        <v>245</v>
      </c>
      <c r="BL106" s="30" t="s">
        <v>245</v>
      </c>
      <c r="BM106" s="30" t="s">
        <v>245</v>
      </c>
      <c r="BN106" s="30" t="s">
        <v>245</v>
      </c>
      <c r="BO106" s="30" t="s">
        <v>245</v>
      </c>
      <c r="BP106" s="30" t="s">
        <v>245</v>
      </c>
      <c r="BQ106" s="30" t="s">
        <v>245</v>
      </c>
      <c r="BR106" s="30" t="s">
        <v>245</v>
      </c>
      <c r="BS106" s="30" t="s">
        <v>1118</v>
      </c>
      <c r="BT106" s="30" t="str">
        <f>HYPERLINK("https%3A%2F%2Fwww.webofscience.com%2Fwos%2Fwoscc%2Ffull-record%2FWOS:000087601400009","View Full Record in Web of Science")</f>
        <v>View Full Record in Web of Science</v>
      </c>
    </row>
    <row r="107" spans="1:72" x14ac:dyDescent="0.2">
      <c r="A107" s="30" t="s">
        <v>243</v>
      </c>
      <c r="B107" s="30" t="s">
        <v>1119</v>
      </c>
      <c r="C107" s="30" t="s">
        <v>245</v>
      </c>
      <c r="D107" s="30" t="s">
        <v>245</v>
      </c>
      <c r="E107" s="30" t="s">
        <v>245</v>
      </c>
      <c r="F107" s="30" t="s">
        <v>1120</v>
      </c>
      <c r="G107" s="30" t="s">
        <v>245</v>
      </c>
      <c r="H107" s="30" t="s">
        <v>245</v>
      </c>
      <c r="I107" s="30" t="s">
        <v>1121</v>
      </c>
      <c r="J107" s="30" t="s">
        <v>1122</v>
      </c>
      <c r="K107" s="30" t="s">
        <v>245</v>
      </c>
      <c r="L107" s="30" t="s">
        <v>245</v>
      </c>
      <c r="M107" s="30" t="s">
        <v>245</v>
      </c>
      <c r="N107" s="30" t="s">
        <v>245</v>
      </c>
      <c r="O107" s="30" t="s">
        <v>245</v>
      </c>
      <c r="P107" s="30" t="s">
        <v>245</v>
      </c>
      <c r="Q107" s="30" t="s">
        <v>245</v>
      </c>
      <c r="R107" s="30" t="s">
        <v>245</v>
      </c>
      <c r="S107" s="30" t="s">
        <v>245</v>
      </c>
      <c r="T107" s="30" t="s">
        <v>245</v>
      </c>
      <c r="U107" s="30" t="s">
        <v>245</v>
      </c>
      <c r="V107" s="30" t="s">
        <v>245</v>
      </c>
      <c r="W107" s="30" t="s">
        <v>245</v>
      </c>
      <c r="X107" s="30" t="s">
        <v>245</v>
      </c>
      <c r="Y107" s="30" t="s">
        <v>245</v>
      </c>
      <c r="Z107" s="30" t="s">
        <v>245</v>
      </c>
      <c r="AA107" s="30" t="s">
        <v>1123</v>
      </c>
      <c r="AB107" s="30" t="s">
        <v>1124</v>
      </c>
      <c r="AC107" s="30" t="s">
        <v>245</v>
      </c>
      <c r="AD107" s="30" t="s">
        <v>245</v>
      </c>
      <c r="AE107" s="30" t="s">
        <v>245</v>
      </c>
      <c r="AF107" s="30" t="s">
        <v>245</v>
      </c>
      <c r="AG107" s="30" t="s">
        <v>245</v>
      </c>
      <c r="AH107" s="30" t="s">
        <v>245</v>
      </c>
      <c r="AI107" s="30" t="s">
        <v>245</v>
      </c>
      <c r="AJ107" s="30" t="s">
        <v>245</v>
      </c>
      <c r="AK107" s="30" t="s">
        <v>245</v>
      </c>
      <c r="AL107" s="30" t="s">
        <v>245</v>
      </c>
      <c r="AM107" s="30" t="s">
        <v>245</v>
      </c>
      <c r="AN107" s="30" t="s">
        <v>245</v>
      </c>
      <c r="AO107" s="30" t="s">
        <v>245</v>
      </c>
      <c r="AP107" s="30" t="s">
        <v>1125</v>
      </c>
      <c r="AQ107" s="30" t="s">
        <v>245</v>
      </c>
      <c r="AR107" s="30" t="s">
        <v>245</v>
      </c>
      <c r="AS107" s="30" t="s">
        <v>245</v>
      </c>
      <c r="AT107" s="30" t="s">
        <v>297</v>
      </c>
      <c r="AU107" s="30">
        <v>2020</v>
      </c>
      <c r="AV107" s="30">
        <v>10</v>
      </c>
      <c r="AW107" s="30">
        <v>10</v>
      </c>
      <c r="AX107" s="30" t="s">
        <v>245</v>
      </c>
      <c r="AY107" s="30" t="s">
        <v>245</v>
      </c>
      <c r="AZ107" s="30" t="s">
        <v>245</v>
      </c>
      <c r="BA107" s="30" t="s">
        <v>245</v>
      </c>
      <c r="BB107" s="30" t="s">
        <v>245</v>
      </c>
      <c r="BC107" s="30" t="s">
        <v>245</v>
      </c>
      <c r="BD107" s="30">
        <v>1498</v>
      </c>
      <c r="BE107" s="30" t="s">
        <v>1126</v>
      </c>
      <c r="BF107" s="30" t="str">
        <f>HYPERLINK("http://dx.doi.org/10.3390/agronomy10101498","http://dx.doi.org/10.3390/agronomy10101498")</f>
        <v>http://dx.doi.org/10.3390/agronomy10101498</v>
      </c>
      <c r="BG107" s="30" t="s">
        <v>245</v>
      </c>
      <c r="BH107" s="30" t="s">
        <v>245</v>
      </c>
      <c r="BI107" s="30" t="s">
        <v>245</v>
      </c>
      <c r="BJ107" s="30" t="s">
        <v>245</v>
      </c>
      <c r="BK107" s="30" t="s">
        <v>245</v>
      </c>
      <c r="BL107" s="30" t="s">
        <v>245</v>
      </c>
      <c r="BM107" s="30" t="s">
        <v>245</v>
      </c>
      <c r="BN107" s="30" t="s">
        <v>245</v>
      </c>
      <c r="BO107" s="30" t="s">
        <v>245</v>
      </c>
      <c r="BP107" s="30" t="s">
        <v>245</v>
      </c>
      <c r="BQ107" s="30" t="s">
        <v>245</v>
      </c>
      <c r="BR107" s="30" t="s">
        <v>245</v>
      </c>
      <c r="BS107" s="30" t="s">
        <v>1127</v>
      </c>
      <c r="BT107" s="30" t="str">
        <f>HYPERLINK("https%3A%2F%2Fwww.webofscience.com%2Fwos%2Fwoscc%2Ffull-record%2FWOS:000584186900001","View Full Record in Web of Science")</f>
        <v>View Full Record in Web of Science</v>
      </c>
    </row>
    <row r="108" spans="1:72" x14ac:dyDescent="0.2">
      <c r="A108" s="30" t="s">
        <v>243</v>
      </c>
      <c r="B108" s="30" t="s">
        <v>1128</v>
      </c>
      <c r="C108" s="30" t="s">
        <v>245</v>
      </c>
      <c r="D108" s="30" t="s">
        <v>245</v>
      </c>
      <c r="E108" s="30" t="s">
        <v>245</v>
      </c>
      <c r="F108" s="30" t="s">
        <v>1128</v>
      </c>
      <c r="G108" s="30" t="s">
        <v>245</v>
      </c>
      <c r="H108" s="30" t="s">
        <v>245</v>
      </c>
      <c r="I108" s="30" t="s">
        <v>1129</v>
      </c>
      <c r="J108" s="30" t="s">
        <v>260</v>
      </c>
      <c r="K108" s="30" t="s">
        <v>245</v>
      </c>
      <c r="L108" s="30" t="s">
        <v>245</v>
      </c>
      <c r="M108" s="30" t="s">
        <v>245</v>
      </c>
      <c r="N108" s="30" t="s">
        <v>245</v>
      </c>
      <c r="O108" s="30" t="s">
        <v>245</v>
      </c>
      <c r="P108" s="30" t="s">
        <v>245</v>
      </c>
      <c r="Q108" s="30" t="s">
        <v>245</v>
      </c>
      <c r="R108" s="30" t="s">
        <v>245</v>
      </c>
      <c r="S108" s="30" t="s">
        <v>245</v>
      </c>
      <c r="T108" s="30" t="s">
        <v>245</v>
      </c>
      <c r="U108" s="30" t="s">
        <v>245</v>
      </c>
      <c r="V108" s="30" t="s">
        <v>245</v>
      </c>
      <c r="W108" s="30" t="s">
        <v>245</v>
      </c>
      <c r="X108" s="30" t="s">
        <v>245</v>
      </c>
      <c r="Y108" s="30" t="s">
        <v>245</v>
      </c>
      <c r="Z108" s="30" t="s">
        <v>245</v>
      </c>
      <c r="AA108" s="30" t="s">
        <v>1130</v>
      </c>
      <c r="AB108" s="30" t="s">
        <v>1131</v>
      </c>
      <c r="AC108" s="30" t="s">
        <v>245</v>
      </c>
      <c r="AD108" s="30" t="s">
        <v>245</v>
      </c>
      <c r="AE108" s="30" t="s">
        <v>245</v>
      </c>
      <c r="AF108" s="30" t="s">
        <v>245</v>
      </c>
      <c r="AG108" s="30" t="s">
        <v>245</v>
      </c>
      <c r="AH108" s="30" t="s">
        <v>245</v>
      </c>
      <c r="AI108" s="30" t="s">
        <v>245</v>
      </c>
      <c r="AJ108" s="30" t="s">
        <v>245</v>
      </c>
      <c r="AK108" s="30" t="s">
        <v>245</v>
      </c>
      <c r="AL108" s="30" t="s">
        <v>245</v>
      </c>
      <c r="AM108" s="30" t="s">
        <v>245</v>
      </c>
      <c r="AN108" s="30" t="s">
        <v>245</v>
      </c>
      <c r="AO108" s="30" t="s">
        <v>263</v>
      </c>
      <c r="AP108" s="30" t="s">
        <v>245</v>
      </c>
      <c r="AQ108" s="30" t="s">
        <v>245</v>
      </c>
      <c r="AR108" s="30" t="s">
        <v>245</v>
      </c>
      <c r="AS108" s="30" t="s">
        <v>245</v>
      </c>
      <c r="AT108" s="30" t="s">
        <v>487</v>
      </c>
      <c r="AU108" s="30">
        <v>1998</v>
      </c>
      <c r="AV108" s="30">
        <v>31</v>
      </c>
      <c r="AW108" s="30">
        <v>3</v>
      </c>
      <c r="AX108" s="30" t="s">
        <v>245</v>
      </c>
      <c r="AY108" s="30" t="s">
        <v>245</v>
      </c>
      <c r="AZ108" s="30" t="s">
        <v>245</v>
      </c>
      <c r="BA108" s="30" t="s">
        <v>245</v>
      </c>
      <c r="BB108" s="30">
        <v>288</v>
      </c>
      <c r="BC108" s="30">
        <v>292</v>
      </c>
      <c r="BD108" s="30" t="s">
        <v>245</v>
      </c>
      <c r="BE108" s="30" t="s">
        <v>245</v>
      </c>
      <c r="BF108" s="30" t="s">
        <v>245</v>
      </c>
      <c r="BG108" s="30" t="s">
        <v>245</v>
      </c>
      <c r="BH108" s="30" t="s">
        <v>245</v>
      </c>
      <c r="BI108" s="30" t="s">
        <v>245</v>
      </c>
      <c r="BJ108" s="30" t="s">
        <v>245</v>
      </c>
      <c r="BK108" s="30" t="s">
        <v>245</v>
      </c>
      <c r="BL108" s="30" t="s">
        <v>245</v>
      </c>
      <c r="BM108" s="30" t="s">
        <v>245</v>
      </c>
      <c r="BN108" s="30" t="s">
        <v>245</v>
      </c>
      <c r="BO108" s="30" t="s">
        <v>245</v>
      </c>
      <c r="BP108" s="30" t="s">
        <v>245</v>
      </c>
      <c r="BQ108" s="30" t="s">
        <v>245</v>
      </c>
      <c r="BR108" s="30" t="s">
        <v>245</v>
      </c>
      <c r="BS108" s="30" t="s">
        <v>1132</v>
      </c>
      <c r="BT108" s="30" t="str">
        <f>HYPERLINK("https%3A%2F%2Fwww.webofscience.com%2Fwos%2Fwoscc%2Ffull-record%2FWOS:000072675900007","View Full Record in Web of Science")</f>
        <v>View Full Record in Web of Science</v>
      </c>
    </row>
    <row r="109" spans="1:72" x14ac:dyDescent="0.2">
      <c r="A109" s="30" t="s">
        <v>243</v>
      </c>
      <c r="B109" s="30" t="s">
        <v>1133</v>
      </c>
      <c r="C109" s="30" t="s">
        <v>245</v>
      </c>
      <c r="D109" s="30" t="s">
        <v>245</v>
      </c>
      <c r="E109" s="30" t="s">
        <v>245</v>
      </c>
      <c r="F109" s="30" t="s">
        <v>1134</v>
      </c>
      <c r="G109" s="30" t="s">
        <v>245</v>
      </c>
      <c r="H109" s="30" t="s">
        <v>245</v>
      </c>
      <c r="I109" s="30" t="s">
        <v>1135</v>
      </c>
      <c r="J109" s="30" t="s">
        <v>304</v>
      </c>
      <c r="K109" s="30" t="s">
        <v>245</v>
      </c>
      <c r="L109" s="30" t="s">
        <v>245</v>
      </c>
      <c r="M109" s="30" t="s">
        <v>245</v>
      </c>
      <c r="N109" s="30" t="s">
        <v>245</v>
      </c>
      <c r="O109" s="30" t="s">
        <v>245</v>
      </c>
      <c r="P109" s="30" t="s">
        <v>245</v>
      </c>
      <c r="Q109" s="30" t="s">
        <v>245</v>
      </c>
      <c r="R109" s="30" t="s">
        <v>245</v>
      </c>
      <c r="S109" s="30" t="s">
        <v>245</v>
      </c>
      <c r="T109" s="30" t="s">
        <v>245</v>
      </c>
      <c r="U109" s="30" t="s">
        <v>245</v>
      </c>
      <c r="V109" s="30" t="s">
        <v>245</v>
      </c>
      <c r="W109" s="30" t="s">
        <v>245</v>
      </c>
      <c r="X109" s="30" t="s">
        <v>245</v>
      </c>
      <c r="Y109" s="30" t="s">
        <v>245</v>
      </c>
      <c r="Z109" s="30" t="s">
        <v>245</v>
      </c>
      <c r="AA109" s="30" t="s">
        <v>245</v>
      </c>
      <c r="AB109" s="30" t="s">
        <v>245</v>
      </c>
      <c r="AC109" s="30" t="s">
        <v>245</v>
      </c>
      <c r="AD109" s="30" t="s">
        <v>245</v>
      </c>
      <c r="AE109" s="30" t="s">
        <v>245</v>
      </c>
      <c r="AF109" s="30" t="s">
        <v>245</v>
      </c>
      <c r="AG109" s="30" t="s">
        <v>245</v>
      </c>
      <c r="AH109" s="30" t="s">
        <v>245</v>
      </c>
      <c r="AI109" s="30" t="s">
        <v>245</v>
      </c>
      <c r="AJ109" s="30" t="s">
        <v>245</v>
      </c>
      <c r="AK109" s="30" t="s">
        <v>245</v>
      </c>
      <c r="AL109" s="30" t="s">
        <v>245</v>
      </c>
      <c r="AM109" s="30" t="s">
        <v>245</v>
      </c>
      <c r="AN109" s="30" t="s">
        <v>245</v>
      </c>
      <c r="AO109" s="30" t="s">
        <v>307</v>
      </c>
      <c r="AP109" s="30" t="s">
        <v>308</v>
      </c>
      <c r="AQ109" s="30" t="s">
        <v>245</v>
      </c>
      <c r="AR109" s="30" t="s">
        <v>245</v>
      </c>
      <c r="AS109" s="30" t="s">
        <v>245</v>
      </c>
      <c r="AT109" s="30" t="s">
        <v>1136</v>
      </c>
      <c r="AU109" s="30">
        <v>2015</v>
      </c>
      <c r="AV109" s="30">
        <v>61</v>
      </c>
      <c r="AW109" s="30">
        <v>2</v>
      </c>
      <c r="AX109" s="30" t="s">
        <v>245</v>
      </c>
      <c r="AY109" s="30" t="s">
        <v>245</v>
      </c>
      <c r="AZ109" s="30" t="s">
        <v>245</v>
      </c>
      <c r="BA109" s="30" t="s">
        <v>245</v>
      </c>
      <c r="BB109" s="30">
        <v>347</v>
      </c>
      <c r="BC109" s="30">
        <v>358</v>
      </c>
      <c r="BD109" s="30" t="s">
        <v>245</v>
      </c>
      <c r="BE109" s="30" t="s">
        <v>1137</v>
      </c>
      <c r="BF109" s="30" t="str">
        <f>HYPERLINK("http://dx.doi.org/10.1080/00380768.2014.981676","http://dx.doi.org/10.1080/00380768.2014.981676")</f>
        <v>http://dx.doi.org/10.1080/00380768.2014.981676</v>
      </c>
      <c r="BG109" s="30" t="s">
        <v>245</v>
      </c>
      <c r="BH109" s="30" t="s">
        <v>245</v>
      </c>
      <c r="BI109" s="30" t="s">
        <v>245</v>
      </c>
      <c r="BJ109" s="30" t="s">
        <v>245</v>
      </c>
      <c r="BK109" s="30" t="s">
        <v>245</v>
      </c>
      <c r="BL109" s="30" t="s">
        <v>245</v>
      </c>
      <c r="BM109" s="30" t="s">
        <v>245</v>
      </c>
      <c r="BN109" s="30" t="s">
        <v>245</v>
      </c>
      <c r="BO109" s="30" t="s">
        <v>245</v>
      </c>
      <c r="BP109" s="30" t="s">
        <v>245</v>
      </c>
      <c r="BQ109" s="30" t="s">
        <v>245</v>
      </c>
      <c r="BR109" s="30" t="s">
        <v>245</v>
      </c>
      <c r="BS109" s="30" t="s">
        <v>1138</v>
      </c>
      <c r="BT109" s="30" t="str">
        <f>HYPERLINK("https%3A%2F%2Fwww.webofscience.com%2Fwos%2Fwoscc%2Ffull-record%2FWOS:000353474500021","View Full Record in Web of Science")</f>
        <v>View Full Record in Web of Science</v>
      </c>
    </row>
    <row r="110" spans="1:72" x14ac:dyDescent="0.2">
      <c r="A110" s="30" t="s">
        <v>243</v>
      </c>
      <c r="B110" s="30" t="s">
        <v>1139</v>
      </c>
      <c r="C110" s="30" t="s">
        <v>245</v>
      </c>
      <c r="D110" s="30" t="s">
        <v>245</v>
      </c>
      <c r="E110" s="30" t="s">
        <v>245</v>
      </c>
      <c r="F110" s="30" t="s">
        <v>1140</v>
      </c>
      <c r="G110" s="30" t="s">
        <v>245</v>
      </c>
      <c r="H110" s="30" t="s">
        <v>245</v>
      </c>
      <c r="I110" s="30" t="s">
        <v>1141</v>
      </c>
      <c r="J110" s="30" t="s">
        <v>1142</v>
      </c>
      <c r="K110" s="30" t="s">
        <v>245</v>
      </c>
      <c r="L110" s="30" t="s">
        <v>245</v>
      </c>
      <c r="M110" s="30" t="s">
        <v>245</v>
      </c>
      <c r="N110" s="30" t="s">
        <v>245</v>
      </c>
      <c r="O110" s="30" t="s">
        <v>245</v>
      </c>
      <c r="P110" s="30" t="s">
        <v>245</v>
      </c>
      <c r="Q110" s="30" t="s">
        <v>245</v>
      </c>
      <c r="R110" s="30" t="s">
        <v>245</v>
      </c>
      <c r="S110" s="30" t="s">
        <v>245</v>
      </c>
      <c r="T110" s="30" t="s">
        <v>245</v>
      </c>
      <c r="U110" s="30" t="s">
        <v>245</v>
      </c>
      <c r="V110" s="30" t="s">
        <v>245</v>
      </c>
      <c r="W110" s="30" t="s">
        <v>245</v>
      </c>
      <c r="X110" s="30" t="s">
        <v>245</v>
      </c>
      <c r="Y110" s="30" t="s">
        <v>245</v>
      </c>
      <c r="Z110" s="30" t="s">
        <v>245</v>
      </c>
      <c r="AA110" s="30" t="s">
        <v>1143</v>
      </c>
      <c r="AB110" s="30" t="s">
        <v>1144</v>
      </c>
      <c r="AC110" s="30" t="s">
        <v>245</v>
      </c>
      <c r="AD110" s="30" t="s">
        <v>245</v>
      </c>
      <c r="AE110" s="30" t="s">
        <v>245</v>
      </c>
      <c r="AF110" s="30" t="s">
        <v>245</v>
      </c>
      <c r="AG110" s="30" t="s">
        <v>245</v>
      </c>
      <c r="AH110" s="30" t="s">
        <v>245</v>
      </c>
      <c r="AI110" s="30" t="s">
        <v>245</v>
      </c>
      <c r="AJ110" s="30" t="s">
        <v>245</v>
      </c>
      <c r="AK110" s="30" t="s">
        <v>245</v>
      </c>
      <c r="AL110" s="30" t="s">
        <v>245</v>
      </c>
      <c r="AM110" s="30" t="s">
        <v>245</v>
      </c>
      <c r="AN110" s="30" t="s">
        <v>245</v>
      </c>
      <c r="AO110" s="30" t="s">
        <v>1145</v>
      </c>
      <c r="AP110" s="30" t="s">
        <v>245</v>
      </c>
      <c r="AQ110" s="30" t="s">
        <v>245</v>
      </c>
      <c r="AR110" s="30" t="s">
        <v>245</v>
      </c>
      <c r="AS110" s="30" t="s">
        <v>245</v>
      </c>
      <c r="AT110" s="30" t="s">
        <v>1033</v>
      </c>
      <c r="AU110" s="30">
        <v>2010</v>
      </c>
      <c r="AV110" s="30">
        <v>34</v>
      </c>
      <c r="AW110" s="30">
        <v>5</v>
      </c>
      <c r="AX110" s="30" t="s">
        <v>245</v>
      </c>
      <c r="AY110" s="30" t="s">
        <v>245</v>
      </c>
      <c r="AZ110" s="30" t="s">
        <v>245</v>
      </c>
      <c r="BA110" s="30" t="s">
        <v>245</v>
      </c>
      <c r="BB110" s="30">
        <v>1653</v>
      </c>
      <c r="BC110" s="30">
        <v>1665</v>
      </c>
      <c r="BD110" s="30" t="s">
        <v>245</v>
      </c>
      <c r="BE110" s="30" t="s">
        <v>1146</v>
      </c>
      <c r="BF110" s="30" t="str">
        <f>HYPERLINK("http://dx.doi.org/10.1590/S0100-06832010000500018","http://dx.doi.org/10.1590/S0100-06832010000500018")</f>
        <v>http://dx.doi.org/10.1590/S0100-06832010000500018</v>
      </c>
      <c r="BG110" s="30" t="s">
        <v>245</v>
      </c>
      <c r="BH110" s="30" t="s">
        <v>245</v>
      </c>
      <c r="BI110" s="30" t="s">
        <v>245</v>
      </c>
      <c r="BJ110" s="30" t="s">
        <v>245</v>
      </c>
      <c r="BK110" s="30" t="s">
        <v>245</v>
      </c>
      <c r="BL110" s="30" t="s">
        <v>245</v>
      </c>
      <c r="BM110" s="30" t="s">
        <v>245</v>
      </c>
      <c r="BN110" s="30" t="s">
        <v>245</v>
      </c>
      <c r="BO110" s="30" t="s">
        <v>245</v>
      </c>
      <c r="BP110" s="30" t="s">
        <v>245</v>
      </c>
      <c r="BQ110" s="30" t="s">
        <v>245</v>
      </c>
      <c r="BR110" s="30" t="s">
        <v>245</v>
      </c>
      <c r="BS110" s="30" t="s">
        <v>1147</v>
      </c>
      <c r="BT110" s="30" t="str">
        <f>HYPERLINK("https%3A%2F%2Fwww.webofscience.com%2Fwos%2Fwoscc%2Ffull-record%2FWOS:000285507000018","View Full Record in Web of Science")</f>
        <v>View Full Record in Web of Science</v>
      </c>
    </row>
    <row r="111" spans="1:72" x14ac:dyDescent="0.2">
      <c r="A111" s="30" t="s">
        <v>243</v>
      </c>
      <c r="B111" s="30" t="s">
        <v>1148</v>
      </c>
      <c r="C111" s="30" t="s">
        <v>245</v>
      </c>
      <c r="D111" s="30" t="s">
        <v>245</v>
      </c>
      <c r="E111" s="30" t="s">
        <v>245</v>
      </c>
      <c r="F111" s="30" t="s">
        <v>1149</v>
      </c>
      <c r="G111" s="30" t="s">
        <v>245</v>
      </c>
      <c r="H111" s="30" t="s">
        <v>245</v>
      </c>
      <c r="I111" s="30" t="s">
        <v>1150</v>
      </c>
      <c r="J111" s="30" t="s">
        <v>1151</v>
      </c>
      <c r="K111" s="30" t="s">
        <v>245</v>
      </c>
      <c r="L111" s="30" t="s">
        <v>245</v>
      </c>
      <c r="M111" s="30" t="s">
        <v>245</v>
      </c>
      <c r="N111" s="30" t="s">
        <v>245</v>
      </c>
      <c r="O111" s="30" t="s">
        <v>245</v>
      </c>
      <c r="P111" s="30" t="s">
        <v>245</v>
      </c>
      <c r="Q111" s="30" t="s">
        <v>245</v>
      </c>
      <c r="R111" s="30" t="s">
        <v>245</v>
      </c>
      <c r="S111" s="30" t="s">
        <v>245</v>
      </c>
      <c r="T111" s="30" t="s">
        <v>245</v>
      </c>
      <c r="U111" s="30" t="s">
        <v>245</v>
      </c>
      <c r="V111" s="30" t="s">
        <v>245</v>
      </c>
      <c r="W111" s="30" t="s">
        <v>245</v>
      </c>
      <c r="X111" s="30" t="s">
        <v>245</v>
      </c>
      <c r="Y111" s="30" t="s">
        <v>245</v>
      </c>
      <c r="Z111" s="30" t="s">
        <v>245</v>
      </c>
      <c r="AA111" s="30" t="s">
        <v>1152</v>
      </c>
      <c r="AB111" s="30" t="s">
        <v>1153</v>
      </c>
      <c r="AC111" s="30" t="s">
        <v>245</v>
      </c>
      <c r="AD111" s="30" t="s">
        <v>245</v>
      </c>
      <c r="AE111" s="30" t="s">
        <v>245</v>
      </c>
      <c r="AF111" s="30" t="s">
        <v>245</v>
      </c>
      <c r="AG111" s="30" t="s">
        <v>245</v>
      </c>
      <c r="AH111" s="30" t="s">
        <v>245</v>
      </c>
      <c r="AI111" s="30" t="s">
        <v>245</v>
      </c>
      <c r="AJ111" s="30" t="s">
        <v>245</v>
      </c>
      <c r="AK111" s="30" t="s">
        <v>245</v>
      </c>
      <c r="AL111" s="30" t="s">
        <v>245</v>
      </c>
      <c r="AM111" s="30" t="s">
        <v>245</v>
      </c>
      <c r="AN111" s="30" t="s">
        <v>245</v>
      </c>
      <c r="AO111" s="30" t="s">
        <v>1154</v>
      </c>
      <c r="AP111" s="30" t="s">
        <v>245</v>
      </c>
      <c r="AQ111" s="30" t="s">
        <v>245</v>
      </c>
      <c r="AR111" s="30" t="s">
        <v>245</v>
      </c>
      <c r="AS111" s="30" t="s">
        <v>245</v>
      </c>
      <c r="AT111" s="30" t="s">
        <v>1155</v>
      </c>
      <c r="AU111" s="30">
        <v>2018</v>
      </c>
      <c r="AV111" s="30">
        <v>9</v>
      </c>
      <c r="AW111" s="30" t="s">
        <v>245</v>
      </c>
      <c r="AX111" s="30" t="s">
        <v>245</v>
      </c>
      <c r="AY111" s="30" t="s">
        <v>245</v>
      </c>
      <c r="AZ111" s="30" t="s">
        <v>245</v>
      </c>
      <c r="BA111" s="30" t="s">
        <v>245</v>
      </c>
      <c r="BB111" s="30" t="s">
        <v>245</v>
      </c>
      <c r="BC111" s="30" t="s">
        <v>245</v>
      </c>
      <c r="BD111" s="30">
        <v>1137</v>
      </c>
      <c r="BE111" s="30" t="s">
        <v>1156</v>
      </c>
      <c r="BF111" s="30" t="str">
        <f>HYPERLINK("http://dx.doi.org/10.3389/fmicb.2018.01137","http://dx.doi.org/10.3389/fmicb.2018.01137")</f>
        <v>http://dx.doi.org/10.3389/fmicb.2018.01137</v>
      </c>
      <c r="BG111" s="30" t="s">
        <v>245</v>
      </c>
      <c r="BH111" s="30" t="s">
        <v>245</v>
      </c>
      <c r="BI111" s="30" t="s">
        <v>245</v>
      </c>
      <c r="BJ111" s="30" t="s">
        <v>245</v>
      </c>
      <c r="BK111" s="30" t="s">
        <v>245</v>
      </c>
      <c r="BL111" s="30" t="s">
        <v>245</v>
      </c>
      <c r="BM111" s="30" t="s">
        <v>245</v>
      </c>
      <c r="BN111" s="30">
        <v>29896187</v>
      </c>
      <c r="BO111" s="30" t="s">
        <v>245</v>
      </c>
      <c r="BP111" s="30" t="s">
        <v>245</v>
      </c>
      <c r="BQ111" s="30" t="s">
        <v>245</v>
      </c>
      <c r="BR111" s="30" t="s">
        <v>245</v>
      </c>
      <c r="BS111" s="30" t="s">
        <v>1157</v>
      </c>
      <c r="BT111" s="30" t="str">
        <f>HYPERLINK("https%3A%2F%2Fwww.webofscience.com%2Fwos%2Fwoscc%2Ffull-record%2FWOS:000433327500001","View Full Record in Web of Science")</f>
        <v>View Full Record in Web of Science</v>
      </c>
    </row>
    <row r="112" spans="1:72" x14ac:dyDescent="0.2">
      <c r="A112" s="30" t="s">
        <v>243</v>
      </c>
      <c r="B112" s="30" t="s">
        <v>1158</v>
      </c>
      <c r="C112" s="30" t="s">
        <v>245</v>
      </c>
      <c r="D112" s="30" t="s">
        <v>245</v>
      </c>
      <c r="E112" s="30" t="s">
        <v>245</v>
      </c>
      <c r="F112" s="30" t="s">
        <v>1159</v>
      </c>
      <c r="G112" s="30" t="s">
        <v>245</v>
      </c>
      <c r="H112" s="30" t="s">
        <v>245</v>
      </c>
      <c r="I112" s="30" t="s">
        <v>1160</v>
      </c>
      <c r="J112" s="30" t="s">
        <v>541</v>
      </c>
      <c r="K112" s="30" t="s">
        <v>245</v>
      </c>
      <c r="L112" s="30" t="s">
        <v>245</v>
      </c>
      <c r="M112" s="30" t="s">
        <v>245</v>
      </c>
      <c r="N112" s="30" t="s">
        <v>245</v>
      </c>
      <c r="O112" s="30" t="s">
        <v>245</v>
      </c>
      <c r="P112" s="30" t="s">
        <v>245</v>
      </c>
      <c r="Q112" s="30" t="s">
        <v>245</v>
      </c>
      <c r="R112" s="30" t="s">
        <v>245</v>
      </c>
      <c r="S112" s="30" t="s">
        <v>245</v>
      </c>
      <c r="T112" s="30" t="s">
        <v>245</v>
      </c>
      <c r="U112" s="30" t="s">
        <v>245</v>
      </c>
      <c r="V112" s="30" t="s">
        <v>245</v>
      </c>
      <c r="W112" s="30" t="s">
        <v>245</v>
      </c>
      <c r="X112" s="30" t="s">
        <v>245</v>
      </c>
      <c r="Y112" s="30" t="s">
        <v>245</v>
      </c>
      <c r="Z112" s="30" t="s">
        <v>245</v>
      </c>
      <c r="AA112" s="30" t="s">
        <v>1161</v>
      </c>
      <c r="AB112" s="30" t="s">
        <v>1162</v>
      </c>
      <c r="AC112" s="30" t="s">
        <v>245</v>
      </c>
      <c r="AD112" s="30" t="s">
        <v>245</v>
      </c>
      <c r="AE112" s="30" t="s">
        <v>245</v>
      </c>
      <c r="AF112" s="30" t="s">
        <v>245</v>
      </c>
      <c r="AG112" s="30" t="s">
        <v>245</v>
      </c>
      <c r="AH112" s="30" t="s">
        <v>245</v>
      </c>
      <c r="AI112" s="30" t="s">
        <v>245</v>
      </c>
      <c r="AJ112" s="30" t="s">
        <v>245</v>
      </c>
      <c r="AK112" s="30" t="s">
        <v>245</v>
      </c>
      <c r="AL112" s="30" t="s">
        <v>245</v>
      </c>
      <c r="AM112" s="30" t="s">
        <v>245</v>
      </c>
      <c r="AN112" s="30" t="s">
        <v>245</v>
      </c>
      <c r="AO112" s="30" t="s">
        <v>544</v>
      </c>
      <c r="AP112" s="30" t="s">
        <v>545</v>
      </c>
      <c r="AQ112" s="30" t="s">
        <v>245</v>
      </c>
      <c r="AR112" s="30" t="s">
        <v>245</v>
      </c>
      <c r="AS112" s="30" t="s">
        <v>245</v>
      </c>
      <c r="AT112" s="30" t="s">
        <v>662</v>
      </c>
      <c r="AU112" s="30">
        <v>2017</v>
      </c>
      <c r="AV112" s="30">
        <v>239</v>
      </c>
      <c r="AW112" s="30" t="s">
        <v>245</v>
      </c>
      <c r="AX112" s="30" t="s">
        <v>245</v>
      </c>
      <c r="AY112" s="30" t="s">
        <v>245</v>
      </c>
      <c r="AZ112" s="30" t="s">
        <v>245</v>
      </c>
      <c r="BA112" s="30" t="s">
        <v>245</v>
      </c>
      <c r="BB112" s="30">
        <v>188</v>
      </c>
      <c r="BC112" s="30">
        <v>198</v>
      </c>
      <c r="BD112" s="30" t="s">
        <v>245</v>
      </c>
      <c r="BE112" s="30" t="s">
        <v>1163</v>
      </c>
      <c r="BF112" s="30" t="str">
        <f>HYPERLINK("http://dx.doi.org/10.1016/j.agee.2017.01.012","http://dx.doi.org/10.1016/j.agee.2017.01.012")</f>
        <v>http://dx.doi.org/10.1016/j.agee.2017.01.012</v>
      </c>
      <c r="BG112" s="30" t="s">
        <v>245</v>
      </c>
      <c r="BH112" s="30" t="s">
        <v>245</v>
      </c>
      <c r="BI112" s="30" t="s">
        <v>245</v>
      </c>
      <c r="BJ112" s="30" t="s">
        <v>245</v>
      </c>
      <c r="BK112" s="30" t="s">
        <v>245</v>
      </c>
      <c r="BL112" s="30" t="s">
        <v>245</v>
      </c>
      <c r="BM112" s="30" t="s">
        <v>245</v>
      </c>
      <c r="BN112" s="30" t="s">
        <v>245</v>
      </c>
      <c r="BO112" s="30" t="s">
        <v>245</v>
      </c>
      <c r="BP112" s="30" t="s">
        <v>245</v>
      </c>
      <c r="BQ112" s="30" t="s">
        <v>245</v>
      </c>
      <c r="BR112" s="30" t="s">
        <v>245</v>
      </c>
      <c r="BS112" s="30" t="s">
        <v>1164</v>
      </c>
      <c r="BT112" s="30" t="str">
        <f>HYPERLINK("https%3A%2F%2Fwww.webofscience.com%2Fwos%2Fwoscc%2Ffull-record%2FWOS:000397550100019","View Full Record in Web of Science")</f>
        <v>View Full Record in Web of Science</v>
      </c>
    </row>
    <row r="113" spans="1:72" x14ac:dyDescent="0.2">
      <c r="A113" s="30" t="s">
        <v>243</v>
      </c>
      <c r="B113" s="30" t="s">
        <v>1165</v>
      </c>
      <c r="C113" s="30" t="s">
        <v>245</v>
      </c>
      <c r="D113" s="30" t="s">
        <v>245</v>
      </c>
      <c r="E113" s="30" t="s">
        <v>245</v>
      </c>
      <c r="F113" s="30" t="s">
        <v>1166</v>
      </c>
      <c r="G113" s="30" t="s">
        <v>245</v>
      </c>
      <c r="H113" s="30" t="s">
        <v>245</v>
      </c>
      <c r="I113" s="30" t="s">
        <v>1167</v>
      </c>
      <c r="J113" s="30" t="s">
        <v>282</v>
      </c>
      <c r="K113" s="30" t="s">
        <v>245</v>
      </c>
      <c r="L113" s="30" t="s">
        <v>245</v>
      </c>
      <c r="M113" s="30" t="s">
        <v>245</v>
      </c>
      <c r="N113" s="30" t="s">
        <v>245</v>
      </c>
      <c r="O113" s="30" t="s">
        <v>245</v>
      </c>
      <c r="P113" s="30" t="s">
        <v>245</v>
      </c>
      <c r="Q113" s="30" t="s">
        <v>245</v>
      </c>
      <c r="R113" s="30" t="s">
        <v>245</v>
      </c>
      <c r="S113" s="30" t="s">
        <v>245</v>
      </c>
      <c r="T113" s="30" t="s">
        <v>245</v>
      </c>
      <c r="U113" s="30" t="s">
        <v>245</v>
      </c>
      <c r="V113" s="30" t="s">
        <v>245</v>
      </c>
      <c r="W113" s="30" t="s">
        <v>245</v>
      </c>
      <c r="X113" s="30" t="s">
        <v>245</v>
      </c>
      <c r="Y113" s="30" t="s">
        <v>245</v>
      </c>
      <c r="Z113" s="30" t="s">
        <v>245</v>
      </c>
      <c r="AA113" s="30" t="s">
        <v>1168</v>
      </c>
      <c r="AB113" s="30" t="s">
        <v>1169</v>
      </c>
      <c r="AC113" s="30" t="s">
        <v>245</v>
      </c>
      <c r="AD113" s="30" t="s">
        <v>245</v>
      </c>
      <c r="AE113" s="30" t="s">
        <v>245</v>
      </c>
      <c r="AF113" s="30" t="s">
        <v>245</v>
      </c>
      <c r="AG113" s="30" t="s">
        <v>245</v>
      </c>
      <c r="AH113" s="30" t="s">
        <v>245</v>
      </c>
      <c r="AI113" s="30" t="s">
        <v>245</v>
      </c>
      <c r="AJ113" s="30" t="s">
        <v>245</v>
      </c>
      <c r="AK113" s="30" t="s">
        <v>245</v>
      </c>
      <c r="AL113" s="30" t="s">
        <v>245</v>
      </c>
      <c r="AM113" s="30" t="s">
        <v>245</v>
      </c>
      <c r="AN113" s="30" t="s">
        <v>245</v>
      </c>
      <c r="AO113" s="30" t="s">
        <v>285</v>
      </c>
      <c r="AP113" s="30" t="s">
        <v>370</v>
      </c>
      <c r="AQ113" s="30" t="s">
        <v>245</v>
      </c>
      <c r="AR113" s="30" t="s">
        <v>245</v>
      </c>
      <c r="AS113" s="30" t="s">
        <v>245</v>
      </c>
      <c r="AT113" s="30" t="s">
        <v>354</v>
      </c>
      <c r="AU113" s="30">
        <v>2020</v>
      </c>
      <c r="AV113" s="30">
        <v>143</v>
      </c>
      <c r="AW113" s="30" t="s">
        <v>245</v>
      </c>
      <c r="AX113" s="30" t="s">
        <v>245</v>
      </c>
      <c r="AY113" s="30" t="s">
        <v>245</v>
      </c>
      <c r="AZ113" s="30" t="s">
        <v>245</v>
      </c>
      <c r="BA113" s="30" t="s">
        <v>245</v>
      </c>
      <c r="BB113" s="30" t="s">
        <v>245</v>
      </c>
      <c r="BC113" s="30" t="s">
        <v>245</v>
      </c>
      <c r="BD113" s="30">
        <v>107757</v>
      </c>
      <c r="BE113" s="30" t="s">
        <v>1170</v>
      </c>
      <c r="BF113" s="30" t="str">
        <f>HYPERLINK("http://dx.doi.org/10.1016/j.soilbio.2020.107757","http://dx.doi.org/10.1016/j.soilbio.2020.107757")</f>
        <v>http://dx.doi.org/10.1016/j.soilbio.2020.107757</v>
      </c>
      <c r="BG113" s="30" t="s">
        <v>245</v>
      </c>
      <c r="BH113" s="30" t="s">
        <v>245</v>
      </c>
      <c r="BI113" s="30" t="s">
        <v>245</v>
      </c>
      <c r="BJ113" s="30" t="s">
        <v>245</v>
      </c>
      <c r="BK113" s="30" t="s">
        <v>245</v>
      </c>
      <c r="BL113" s="30" t="s">
        <v>245</v>
      </c>
      <c r="BM113" s="30" t="s">
        <v>245</v>
      </c>
      <c r="BN113" s="30" t="s">
        <v>245</v>
      </c>
      <c r="BO113" s="30" t="s">
        <v>245</v>
      </c>
      <c r="BP113" s="30" t="s">
        <v>245</v>
      </c>
      <c r="BQ113" s="30" t="s">
        <v>245</v>
      </c>
      <c r="BR113" s="30" t="s">
        <v>245</v>
      </c>
      <c r="BS113" s="30" t="s">
        <v>1171</v>
      </c>
      <c r="BT113" s="30" t="str">
        <f>HYPERLINK("https%3A%2F%2Fwww.webofscience.com%2Fwos%2Fwoscc%2Ffull-record%2FWOS:000523634500013","View Full Record in Web of Science")</f>
        <v>View Full Record in Web of Science</v>
      </c>
    </row>
    <row r="114" spans="1:72" x14ac:dyDescent="0.2">
      <c r="A114" s="30" t="s">
        <v>243</v>
      </c>
      <c r="B114" s="30" t="s">
        <v>1172</v>
      </c>
      <c r="C114" s="30" t="s">
        <v>245</v>
      </c>
      <c r="D114" s="30" t="s">
        <v>245</v>
      </c>
      <c r="E114" s="30" t="s">
        <v>245</v>
      </c>
      <c r="F114" s="30" t="s">
        <v>1173</v>
      </c>
      <c r="G114" s="30" t="s">
        <v>245</v>
      </c>
      <c r="H114" s="30" t="s">
        <v>245</v>
      </c>
      <c r="I114" s="30" t="s">
        <v>1174</v>
      </c>
      <c r="J114" s="30" t="s">
        <v>282</v>
      </c>
      <c r="K114" s="30" t="s">
        <v>245</v>
      </c>
      <c r="L114" s="30" t="s">
        <v>245</v>
      </c>
      <c r="M114" s="30" t="s">
        <v>245</v>
      </c>
      <c r="N114" s="30" t="s">
        <v>245</v>
      </c>
      <c r="O114" s="30" t="s">
        <v>245</v>
      </c>
      <c r="P114" s="30" t="s">
        <v>245</v>
      </c>
      <c r="Q114" s="30" t="s">
        <v>245</v>
      </c>
      <c r="R114" s="30" t="s">
        <v>245</v>
      </c>
      <c r="S114" s="30" t="s">
        <v>245</v>
      </c>
      <c r="T114" s="30" t="s">
        <v>245</v>
      </c>
      <c r="U114" s="30" t="s">
        <v>245</v>
      </c>
      <c r="V114" s="30" t="s">
        <v>245</v>
      </c>
      <c r="W114" s="30" t="s">
        <v>245</v>
      </c>
      <c r="X114" s="30" t="s">
        <v>245</v>
      </c>
      <c r="Y114" s="30" t="s">
        <v>245</v>
      </c>
      <c r="Z114" s="30" t="s">
        <v>245</v>
      </c>
      <c r="AA114" s="30" t="s">
        <v>1175</v>
      </c>
      <c r="AB114" s="30" t="s">
        <v>1176</v>
      </c>
      <c r="AC114" s="30" t="s">
        <v>245</v>
      </c>
      <c r="AD114" s="30" t="s">
        <v>245</v>
      </c>
      <c r="AE114" s="30" t="s">
        <v>245</v>
      </c>
      <c r="AF114" s="30" t="s">
        <v>245</v>
      </c>
      <c r="AG114" s="30" t="s">
        <v>245</v>
      </c>
      <c r="AH114" s="30" t="s">
        <v>245</v>
      </c>
      <c r="AI114" s="30" t="s">
        <v>245</v>
      </c>
      <c r="AJ114" s="30" t="s">
        <v>245</v>
      </c>
      <c r="AK114" s="30" t="s">
        <v>245</v>
      </c>
      <c r="AL114" s="30" t="s">
        <v>245</v>
      </c>
      <c r="AM114" s="30" t="s">
        <v>245</v>
      </c>
      <c r="AN114" s="30" t="s">
        <v>245</v>
      </c>
      <c r="AO114" s="30" t="s">
        <v>285</v>
      </c>
      <c r="AP114" s="30" t="s">
        <v>370</v>
      </c>
      <c r="AQ114" s="30" t="s">
        <v>245</v>
      </c>
      <c r="AR114" s="30" t="s">
        <v>245</v>
      </c>
      <c r="AS114" s="30" t="s">
        <v>245</v>
      </c>
      <c r="AT114" s="30" t="s">
        <v>435</v>
      </c>
      <c r="AU114" s="30">
        <v>2021</v>
      </c>
      <c r="AV114" s="30">
        <v>156</v>
      </c>
      <c r="AW114" s="30" t="s">
        <v>245</v>
      </c>
      <c r="AX114" s="30" t="s">
        <v>245</v>
      </c>
      <c r="AY114" s="30" t="s">
        <v>245</v>
      </c>
      <c r="AZ114" s="30" t="s">
        <v>245</v>
      </c>
      <c r="BA114" s="30" t="s">
        <v>245</v>
      </c>
      <c r="BB114" s="30" t="s">
        <v>245</v>
      </c>
      <c r="BC114" s="30" t="s">
        <v>245</v>
      </c>
      <c r="BD114" s="30">
        <v>108197</v>
      </c>
      <c r="BE114" s="30" t="s">
        <v>1177</v>
      </c>
      <c r="BF114" s="30" t="str">
        <f>HYPERLINK("http://dx.doi.org/10.1016/j.soilbio.2021.108197","http://dx.doi.org/10.1016/j.soilbio.2021.108197")</f>
        <v>http://dx.doi.org/10.1016/j.soilbio.2021.108197</v>
      </c>
      <c r="BG114" s="30" t="s">
        <v>245</v>
      </c>
      <c r="BH114" s="30" t="s">
        <v>524</v>
      </c>
      <c r="BI114" s="30" t="s">
        <v>245</v>
      </c>
      <c r="BJ114" s="30" t="s">
        <v>245</v>
      </c>
      <c r="BK114" s="30" t="s">
        <v>245</v>
      </c>
      <c r="BL114" s="30" t="s">
        <v>245</v>
      </c>
      <c r="BM114" s="30" t="s">
        <v>245</v>
      </c>
      <c r="BN114" s="30" t="s">
        <v>245</v>
      </c>
      <c r="BO114" s="30" t="s">
        <v>245</v>
      </c>
      <c r="BP114" s="30" t="s">
        <v>245</v>
      </c>
      <c r="BQ114" s="30" t="s">
        <v>245</v>
      </c>
      <c r="BR114" s="30" t="s">
        <v>245</v>
      </c>
      <c r="BS114" s="30" t="s">
        <v>1178</v>
      </c>
      <c r="BT114" s="30" t="str">
        <f>HYPERLINK("https%3A%2F%2Fwww.webofscience.com%2Fwos%2Fwoscc%2Ffull-record%2FWOS:000640189100035","View Full Record in Web of Science")</f>
        <v>View Full Record in Web of Science</v>
      </c>
    </row>
    <row r="115" spans="1:72" x14ac:dyDescent="0.2">
      <c r="A115" s="30" t="s">
        <v>243</v>
      </c>
      <c r="B115" s="30" t="s">
        <v>1179</v>
      </c>
      <c r="C115" s="30" t="s">
        <v>245</v>
      </c>
      <c r="D115" s="30" t="s">
        <v>245</v>
      </c>
      <c r="E115" s="30" t="s">
        <v>245</v>
      </c>
      <c r="F115" s="30" t="s">
        <v>1180</v>
      </c>
      <c r="G115" s="30" t="s">
        <v>245</v>
      </c>
      <c r="H115" s="30" t="s">
        <v>245</v>
      </c>
      <c r="I115" s="30" t="s">
        <v>1181</v>
      </c>
      <c r="J115" s="30" t="s">
        <v>1182</v>
      </c>
      <c r="K115" s="30" t="s">
        <v>245</v>
      </c>
      <c r="L115" s="30" t="s">
        <v>245</v>
      </c>
      <c r="M115" s="30" t="s">
        <v>245</v>
      </c>
      <c r="N115" s="30" t="s">
        <v>245</v>
      </c>
      <c r="O115" s="30" t="s">
        <v>245</v>
      </c>
      <c r="P115" s="30" t="s">
        <v>245</v>
      </c>
      <c r="Q115" s="30" t="s">
        <v>245</v>
      </c>
      <c r="R115" s="30" t="s">
        <v>245</v>
      </c>
      <c r="S115" s="30" t="s">
        <v>245</v>
      </c>
      <c r="T115" s="30" t="s">
        <v>245</v>
      </c>
      <c r="U115" s="30" t="s">
        <v>245</v>
      </c>
      <c r="V115" s="30" t="s">
        <v>245</v>
      </c>
      <c r="W115" s="30" t="s">
        <v>245</v>
      </c>
      <c r="X115" s="30" t="s">
        <v>245</v>
      </c>
      <c r="Y115" s="30" t="s">
        <v>245</v>
      </c>
      <c r="Z115" s="30" t="s">
        <v>245</v>
      </c>
      <c r="AA115" s="30" t="s">
        <v>1183</v>
      </c>
      <c r="AB115" s="30" t="s">
        <v>1184</v>
      </c>
      <c r="AC115" s="30" t="s">
        <v>245</v>
      </c>
      <c r="AD115" s="30" t="s">
        <v>245</v>
      </c>
      <c r="AE115" s="30" t="s">
        <v>245</v>
      </c>
      <c r="AF115" s="30" t="s">
        <v>245</v>
      </c>
      <c r="AG115" s="30" t="s">
        <v>245</v>
      </c>
      <c r="AH115" s="30" t="s">
        <v>245</v>
      </c>
      <c r="AI115" s="30" t="s">
        <v>245</v>
      </c>
      <c r="AJ115" s="30" t="s">
        <v>245</v>
      </c>
      <c r="AK115" s="30" t="s">
        <v>245</v>
      </c>
      <c r="AL115" s="30" t="s">
        <v>245</v>
      </c>
      <c r="AM115" s="30" t="s">
        <v>245</v>
      </c>
      <c r="AN115" s="30" t="s">
        <v>245</v>
      </c>
      <c r="AO115" s="30" t="s">
        <v>245</v>
      </c>
      <c r="AP115" s="30" t="s">
        <v>1185</v>
      </c>
      <c r="AQ115" s="30" t="s">
        <v>245</v>
      </c>
      <c r="AR115" s="30" t="s">
        <v>245</v>
      </c>
      <c r="AS115" s="30" t="s">
        <v>245</v>
      </c>
      <c r="AT115" s="30" t="s">
        <v>265</v>
      </c>
      <c r="AU115" s="30">
        <v>2021</v>
      </c>
      <c r="AV115" s="30">
        <v>12</v>
      </c>
      <c r="AW115" s="30">
        <v>6</v>
      </c>
      <c r="AX115" s="30" t="s">
        <v>245</v>
      </c>
      <c r="AY115" s="30" t="s">
        <v>245</v>
      </c>
      <c r="AZ115" s="30" t="s">
        <v>245</v>
      </c>
      <c r="BA115" s="30" t="s">
        <v>245</v>
      </c>
      <c r="BB115" s="30" t="s">
        <v>245</v>
      </c>
      <c r="BC115" s="30" t="s">
        <v>245</v>
      </c>
      <c r="BD115" s="30">
        <v>697</v>
      </c>
      <c r="BE115" s="30" t="s">
        <v>1186</v>
      </c>
      <c r="BF115" s="30" t="str">
        <f>HYPERLINK("http://dx.doi.org/10.3390/atmos12060697","http://dx.doi.org/10.3390/atmos12060697")</f>
        <v>http://dx.doi.org/10.3390/atmos12060697</v>
      </c>
      <c r="BG115" s="30" t="s">
        <v>245</v>
      </c>
      <c r="BH115" s="30" t="s">
        <v>245</v>
      </c>
      <c r="BI115" s="30" t="s">
        <v>245</v>
      </c>
      <c r="BJ115" s="30" t="s">
        <v>245</v>
      </c>
      <c r="BK115" s="30" t="s">
        <v>245</v>
      </c>
      <c r="BL115" s="30" t="s">
        <v>245</v>
      </c>
      <c r="BM115" s="30" t="s">
        <v>245</v>
      </c>
      <c r="BN115" s="30" t="s">
        <v>245</v>
      </c>
      <c r="BO115" s="30" t="s">
        <v>245</v>
      </c>
      <c r="BP115" s="30" t="s">
        <v>245</v>
      </c>
      <c r="BQ115" s="30" t="s">
        <v>245</v>
      </c>
      <c r="BR115" s="30" t="s">
        <v>245</v>
      </c>
      <c r="BS115" s="30" t="s">
        <v>1187</v>
      </c>
      <c r="BT115" s="30" t="str">
        <f>HYPERLINK("https%3A%2F%2Fwww.webofscience.com%2Fwos%2Fwoscc%2Ffull-record%2FWOS:000665352500001","View Full Record in Web of Science")</f>
        <v>View Full Record in Web of Science</v>
      </c>
    </row>
    <row r="116" spans="1:72" x14ac:dyDescent="0.2">
      <c r="A116" s="30" t="s">
        <v>243</v>
      </c>
      <c r="B116" s="30" t="s">
        <v>1188</v>
      </c>
      <c r="C116" s="30" t="s">
        <v>245</v>
      </c>
      <c r="D116" s="30" t="s">
        <v>245</v>
      </c>
      <c r="E116" s="30" t="s">
        <v>245</v>
      </c>
      <c r="F116" s="30" t="s">
        <v>1189</v>
      </c>
      <c r="G116" s="30" t="s">
        <v>245</v>
      </c>
      <c r="H116" s="30" t="s">
        <v>245</v>
      </c>
      <c r="I116" s="30" t="s">
        <v>1190</v>
      </c>
      <c r="J116" s="30" t="s">
        <v>282</v>
      </c>
      <c r="K116" s="30" t="s">
        <v>245</v>
      </c>
      <c r="L116" s="30" t="s">
        <v>245</v>
      </c>
      <c r="M116" s="30" t="s">
        <v>245</v>
      </c>
      <c r="N116" s="30" t="s">
        <v>245</v>
      </c>
      <c r="O116" s="30" t="s">
        <v>245</v>
      </c>
      <c r="P116" s="30" t="s">
        <v>245</v>
      </c>
      <c r="Q116" s="30" t="s">
        <v>245</v>
      </c>
      <c r="R116" s="30" t="s">
        <v>245</v>
      </c>
      <c r="S116" s="30" t="s">
        <v>245</v>
      </c>
      <c r="T116" s="30" t="s">
        <v>245</v>
      </c>
      <c r="U116" s="30" t="s">
        <v>245</v>
      </c>
      <c r="V116" s="30" t="s">
        <v>245</v>
      </c>
      <c r="W116" s="30" t="s">
        <v>245</v>
      </c>
      <c r="X116" s="30" t="s">
        <v>245</v>
      </c>
      <c r="Y116" s="30" t="s">
        <v>245</v>
      </c>
      <c r="Z116" s="30" t="s">
        <v>245</v>
      </c>
      <c r="AA116" s="30" t="s">
        <v>1191</v>
      </c>
      <c r="AB116" s="30" t="s">
        <v>1192</v>
      </c>
      <c r="AC116" s="30" t="s">
        <v>245</v>
      </c>
      <c r="AD116" s="30" t="s">
        <v>245</v>
      </c>
      <c r="AE116" s="30" t="s">
        <v>245</v>
      </c>
      <c r="AF116" s="30" t="s">
        <v>245</v>
      </c>
      <c r="AG116" s="30" t="s">
        <v>245</v>
      </c>
      <c r="AH116" s="30" t="s">
        <v>245</v>
      </c>
      <c r="AI116" s="30" t="s">
        <v>245</v>
      </c>
      <c r="AJ116" s="30" t="s">
        <v>245</v>
      </c>
      <c r="AK116" s="30" t="s">
        <v>245</v>
      </c>
      <c r="AL116" s="30" t="s">
        <v>245</v>
      </c>
      <c r="AM116" s="30" t="s">
        <v>245</v>
      </c>
      <c r="AN116" s="30" t="s">
        <v>245</v>
      </c>
      <c r="AO116" s="30" t="s">
        <v>285</v>
      </c>
      <c r="AP116" s="30" t="s">
        <v>370</v>
      </c>
      <c r="AQ116" s="30" t="s">
        <v>245</v>
      </c>
      <c r="AR116" s="30" t="s">
        <v>245</v>
      </c>
      <c r="AS116" s="30" t="s">
        <v>245</v>
      </c>
      <c r="AT116" s="30" t="s">
        <v>286</v>
      </c>
      <c r="AU116" s="30">
        <v>2017</v>
      </c>
      <c r="AV116" s="30">
        <v>104</v>
      </c>
      <c r="AW116" s="30" t="s">
        <v>245</v>
      </c>
      <c r="AX116" s="30" t="s">
        <v>245</v>
      </c>
      <c r="AY116" s="30" t="s">
        <v>245</v>
      </c>
      <c r="AZ116" s="30" t="s">
        <v>245</v>
      </c>
      <c r="BA116" s="30" t="s">
        <v>245</v>
      </c>
      <c r="BB116" s="30">
        <v>197</v>
      </c>
      <c r="BC116" s="30">
        <v>207</v>
      </c>
      <c r="BD116" s="30" t="s">
        <v>245</v>
      </c>
      <c r="BE116" s="30" t="s">
        <v>1193</v>
      </c>
      <c r="BF116" s="30" t="str">
        <f>HYPERLINK("http://dx.doi.org/10.1016/j.soilbio.2016.10.022","http://dx.doi.org/10.1016/j.soilbio.2016.10.022")</f>
        <v>http://dx.doi.org/10.1016/j.soilbio.2016.10.022</v>
      </c>
      <c r="BG116" s="30" t="s">
        <v>245</v>
      </c>
      <c r="BH116" s="30" t="s">
        <v>245</v>
      </c>
      <c r="BI116" s="30" t="s">
        <v>245</v>
      </c>
      <c r="BJ116" s="30" t="s">
        <v>245</v>
      </c>
      <c r="BK116" s="30" t="s">
        <v>245</v>
      </c>
      <c r="BL116" s="30" t="s">
        <v>245</v>
      </c>
      <c r="BM116" s="30" t="s">
        <v>245</v>
      </c>
      <c r="BN116" s="30" t="s">
        <v>245</v>
      </c>
      <c r="BO116" s="30" t="s">
        <v>245</v>
      </c>
      <c r="BP116" s="30" t="s">
        <v>245</v>
      </c>
      <c r="BQ116" s="30" t="s">
        <v>245</v>
      </c>
      <c r="BR116" s="30" t="s">
        <v>245</v>
      </c>
      <c r="BS116" s="30" t="s">
        <v>1194</v>
      </c>
      <c r="BT116" s="30" t="str">
        <f>HYPERLINK("https%3A%2F%2Fwww.webofscience.com%2Fwos%2Fwoscc%2Ffull-record%2FWOS:000389555900019","View Full Record in Web of Science")</f>
        <v>View Full Record in Web of Science</v>
      </c>
    </row>
    <row r="117" spans="1:72" x14ac:dyDescent="0.2">
      <c r="A117" s="30" t="s">
        <v>243</v>
      </c>
      <c r="B117" s="30" t="s">
        <v>1195</v>
      </c>
      <c r="C117" s="30" t="s">
        <v>245</v>
      </c>
      <c r="D117" s="30" t="s">
        <v>245</v>
      </c>
      <c r="E117" s="30" t="s">
        <v>245</v>
      </c>
      <c r="F117" s="30" t="s">
        <v>1196</v>
      </c>
      <c r="G117" s="30" t="s">
        <v>245</v>
      </c>
      <c r="H117" s="30" t="s">
        <v>245</v>
      </c>
      <c r="I117" s="30" t="s">
        <v>1197</v>
      </c>
      <c r="J117" s="30" t="s">
        <v>248</v>
      </c>
      <c r="K117" s="30" t="s">
        <v>245</v>
      </c>
      <c r="L117" s="30" t="s">
        <v>245</v>
      </c>
      <c r="M117" s="30" t="s">
        <v>245</v>
      </c>
      <c r="N117" s="30" t="s">
        <v>245</v>
      </c>
      <c r="O117" s="30" t="s">
        <v>245</v>
      </c>
      <c r="P117" s="30" t="s">
        <v>245</v>
      </c>
      <c r="Q117" s="30" t="s">
        <v>245</v>
      </c>
      <c r="R117" s="30" t="s">
        <v>245</v>
      </c>
      <c r="S117" s="30" t="s">
        <v>245</v>
      </c>
      <c r="T117" s="30" t="s">
        <v>245</v>
      </c>
      <c r="U117" s="30" t="s">
        <v>245</v>
      </c>
      <c r="V117" s="30" t="s">
        <v>245</v>
      </c>
      <c r="W117" s="30" t="s">
        <v>245</v>
      </c>
      <c r="X117" s="30" t="s">
        <v>245</v>
      </c>
      <c r="Y117" s="30" t="s">
        <v>245</v>
      </c>
      <c r="Z117" s="30" t="s">
        <v>245</v>
      </c>
      <c r="AA117" s="30" t="s">
        <v>1198</v>
      </c>
      <c r="AB117" s="30" t="s">
        <v>1199</v>
      </c>
      <c r="AC117" s="30" t="s">
        <v>245</v>
      </c>
      <c r="AD117" s="30" t="s">
        <v>245</v>
      </c>
      <c r="AE117" s="30" t="s">
        <v>245</v>
      </c>
      <c r="AF117" s="30" t="s">
        <v>245</v>
      </c>
      <c r="AG117" s="30" t="s">
        <v>245</v>
      </c>
      <c r="AH117" s="30" t="s">
        <v>245</v>
      </c>
      <c r="AI117" s="30" t="s">
        <v>245</v>
      </c>
      <c r="AJ117" s="30" t="s">
        <v>245</v>
      </c>
      <c r="AK117" s="30" t="s">
        <v>245</v>
      </c>
      <c r="AL117" s="30" t="s">
        <v>245</v>
      </c>
      <c r="AM117" s="30" t="s">
        <v>245</v>
      </c>
      <c r="AN117" s="30" t="s">
        <v>245</v>
      </c>
      <c r="AO117" s="30" t="s">
        <v>251</v>
      </c>
      <c r="AP117" s="30" t="s">
        <v>252</v>
      </c>
      <c r="AQ117" s="30" t="s">
        <v>245</v>
      </c>
      <c r="AR117" s="30" t="s">
        <v>245</v>
      </c>
      <c r="AS117" s="30" t="s">
        <v>245</v>
      </c>
      <c r="AT117" s="30" t="s">
        <v>1200</v>
      </c>
      <c r="AU117" s="30">
        <v>2023</v>
      </c>
      <c r="AV117" s="30">
        <v>54</v>
      </c>
      <c r="AW117" s="30">
        <v>13</v>
      </c>
      <c r="AX117" s="30" t="s">
        <v>245</v>
      </c>
      <c r="AY117" s="30" t="s">
        <v>245</v>
      </c>
      <c r="AZ117" s="30" t="s">
        <v>245</v>
      </c>
      <c r="BA117" s="30" t="s">
        <v>245</v>
      </c>
      <c r="BB117" s="30">
        <v>1741</v>
      </c>
      <c r="BC117" s="30">
        <v>1754</v>
      </c>
      <c r="BD117" s="30" t="s">
        <v>245</v>
      </c>
      <c r="BE117" s="30" t="s">
        <v>1201</v>
      </c>
      <c r="BF117" s="30" t="str">
        <f>HYPERLINK("http://dx.doi.org/10.1080/00103624.2023.2211092","http://dx.doi.org/10.1080/00103624.2023.2211092")</f>
        <v>http://dx.doi.org/10.1080/00103624.2023.2211092</v>
      </c>
      <c r="BG117" s="30" t="s">
        <v>245</v>
      </c>
      <c r="BH117" s="30" t="s">
        <v>1202</v>
      </c>
      <c r="BI117" s="30" t="s">
        <v>245</v>
      </c>
      <c r="BJ117" s="30" t="s">
        <v>245</v>
      </c>
      <c r="BK117" s="30" t="s">
        <v>245</v>
      </c>
      <c r="BL117" s="30" t="s">
        <v>245</v>
      </c>
      <c r="BM117" s="30" t="s">
        <v>245</v>
      </c>
      <c r="BN117" s="30" t="s">
        <v>245</v>
      </c>
      <c r="BO117" s="30" t="s">
        <v>245</v>
      </c>
      <c r="BP117" s="30" t="s">
        <v>245</v>
      </c>
      <c r="BQ117" s="30" t="s">
        <v>245</v>
      </c>
      <c r="BR117" s="30" t="s">
        <v>245</v>
      </c>
      <c r="BS117" s="30" t="s">
        <v>1203</v>
      </c>
      <c r="BT117" s="30" t="str">
        <f>HYPERLINK("https%3A%2F%2Fwww.webofscience.com%2Fwos%2Fwoscc%2Ffull-record%2FWOS:000986109700001","View Full Record in Web of Science")</f>
        <v>View Full Record in Web of Science</v>
      </c>
    </row>
    <row r="118" spans="1:72" x14ac:dyDescent="0.2">
      <c r="A118" s="30" t="s">
        <v>243</v>
      </c>
      <c r="B118" s="30" t="s">
        <v>1204</v>
      </c>
      <c r="C118" s="30" t="s">
        <v>245</v>
      </c>
      <c r="D118" s="30" t="s">
        <v>245</v>
      </c>
      <c r="E118" s="30" t="s">
        <v>245</v>
      </c>
      <c r="F118" s="30" t="s">
        <v>1205</v>
      </c>
      <c r="G118" s="30" t="s">
        <v>245</v>
      </c>
      <c r="H118" s="30" t="s">
        <v>245</v>
      </c>
      <c r="I118" s="30" t="s">
        <v>1206</v>
      </c>
      <c r="J118" s="30" t="s">
        <v>336</v>
      </c>
      <c r="K118" s="30" t="s">
        <v>245</v>
      </c>
      <c r="L118" s="30" t="s">
        <v>245</v>
      </c>
      <c r="M118" s="30" t="s">
        <v>245</v>
      </c>
      <c r="N118" s="30" t="s">
        <v>245</v>
      </c>
      <c r="O118" s="30" t="s">
        <v>245</v>
      </c>
      <c r="P118" s="30" t="s">
        <v>245</v>
      </c>
      <c r="Q118" s="30" t="s">
        <v>245</v>
      </c>
      <c r="R118" s="30" t="s">
        <v>245</v>
      </c>
      <c r="S118" s="30" t="s">
        <v>245</v>
      </c>
      <c r="T118" s="30" t="s">
        <v>245</v>
      </c>
      <c r="U118" s="30" t="s">
        <v>245</v>
      </c>
      <c r="V118" s="30" t="s">
        <v>245</v>
      </c>
      <c r="W118" s="30" t="s">
        <v>245</v>
      </c>
      <c r="X118" s="30" t="s">
        <v>245</v>
      </c>
      <c r="Y118" s="30" t="s">
        <v>245</v>
      </c>
      <c r="Z118" s="30" t="s">
        <v>245</v>
      </c>
      <c r="AA118" s="30" t="s">
        <v>245</v>
      </c>
      <c r="AB118" s="30" t="s">
        <v>1207</v>
      </c>
      <c r="AC118" s="30" t="s">
        <v>245</v>
      </c>
      <c r="AD118" s="30" t="s">
        <v>245</v>
      </c>
      <c r="AE118" s="30" t="s">
        <v>245</v>
      </c>
      <c r="AF118" s="30" t="s">
        <v>245</v>
      </c>
      <c r="AG118" s="30" t="s">
        <v>245</v>
      </c>
      <c r="AH118" s="30" t="s">
        <v>245</v>
      </c>
      <c r="AI118" s="30" t="s">
        <v>245</v>
      </c>
      <c r="AJ118" s="30" t="s">
        <v>245</v>
      </c>
      <c r="AK118" s="30" t="s">
        <v>245</v>
      </c>
      <c r="AL118" s="30" t="s">
        <v>245</v>
      </c>
      <c r="AM118" s="30" t="s">
        <v>245</v>
      </c>
      <c r="AN118" s="30" t="s">
        <v>245</v>
      </c>
      <c r="AO118" s="30" t="s">
        <v>343</v>
      </c>
      <c r="AP118" s="30" t="s">
        <v>245</v>
      </c>
      <c r="AQ118" s="30" t="s">
        <v>245</v>
      </c>
      <c r="AR118" s="30" t="s">
        <v>245</v>
      </c>
      <c r="AS118" s="30" t="s">
        <v>245</v>
      </c>
      <c r="AT118" s="30" t="s">
        <v>646</v>
      </c>
      <c r="AU118" s="30">
        <v>2007</v>
      </c>
      <c r="AV118" s="30">
        <v>78</v>
      </c>
      <c r="AW118" s="30">
        <v>3</v>
      </c>
      <c r="AX118" s="30" t="s">
        <v>245</v>
      </c>
      <c r="AY118" s="30" t="s">
        <v>245</v>
      </c>
      <c r="AZ118" s="30" t="s">
        <v>245</v>
      </c>
      <c r="BA118" s="30" t="s">
        <v>245</v>
      </c>
      <c r="BB118" s="30">
        <v>291</v>
      </c>
      <c r="BC118" s="30">
        <v>303</v>
      </c>
      <c r="BD118" s="30" t="s">
        <v>245</v>
      </c>
      <c r="BE118" s="30" t="s">
        <v>1208</v>
      </c>
      <c r="BF118" s="30" t="str">
        <f>HYPERLINK("http://dx.doi.org/10.1007/s10705-007-9092-8","http://dx.doi.org/10.1007/s10705-007-9092-8")</f>
        <v>http://dx.doi.org/10.1007/s10705-007-9092-8</v>
      </c>
      <c r="BG118" s="30" t="s">
        <v>245</v>
      </c>
      <c r="BH118" s="30" t="s">
        <v>245</v>
      </c>
      <c r="BI118" s="30" t="s">
        <v>245</v>
      </c>
      <c r="BJ118" s="30" t="s">
        <v>245</v>
      </c>
      <c r="BK118" s="30" t="s">
        <v>245</v>
      </c>
      <c r="BL118" s="30" t="s">
        <v>245</v>
      </c>
      <c r="BM118" s="30" t="s">
        <v>245</v>
      </c>
      <c r="BN118" s="30" t="s">
        <v>245</v>
      </c>
      <c r="BO118" s="30" t="s">
        <v>245</v>
      </c>
      <c r="BP118" s="30" t="s">
        <v>245</v>
      </c>
      <c r="BQ118" s="30" t="s">
        <v>245</v>
      </c>
      <c r="BR118" s="30" t="s">
        <v>245</v>
      </c>
      <c r="BS118" s="30" t="s">
        <v>1209</v>
      </c>
      <c r="BT118" s="30" t="str">
        <f>HYPERLINK("https%3A%2F%2Fwww.webofscience.com%2Fwos%2Fwoscc%2Ffull-record%2FWOS:000247387800007","View Full Record in Web of Science")</f>
        <v>View Full Record in Web of Science</v>
      </c>
    </row>
    <row r="119" spans="1:72" x14ac:dyDescent="0.2">
      <c r="A119" s="30" t="s">
        <v>243</v>
      </c>
      <c r="B119" s="30" t="s">
        <v>1210</v>
      </c>
      <c r="C119" s="30" t="s">
        <v>245</v>
      </c>
      <c r="D119" s="30" t="s">
        <v>245</v>
      </c>
      <c r="E119" s="30" t="s">
        <v>245</v>
      </c>
      <c r="F119" s="30" t="s">
        <v>1211</v>
      </c>
      <c r="G119" s="30" t="s">
        <v>245</v>
      </c>
      <c r="H119" s="30" t="s">
        <v>245</v>
      </c>
      <c r="I119" s="30" t="s">
        <v>1212</v>
      </c>
      <c r="J119" s="30" t="s">
        <v>1213</v>
      </c>
      <c r="K119" s="30" t="s">
        <v>245</v>
      </c>
      <c r="L119" s="30" t="s">
        <v>245</v>
      </c>
      <c r="M119" s="30" t="s">
        <v>245</v>
      </c>
      <c r="N119" s="30" t="s">
        <v>245</v>
      </c>
      <c r="O119" s="30" t="s">
        <v>245</v>
      </c>
      <c r="P119" s="30" t="s">
        <v>245</v>
      </c>
      <c r="Q119" s="30" t="s">
        <v>245</v>
      </c>
      <c r="R119" s="30" t="s">
        <v>245</v>
      </c>
      <c r="S119" s="30" t="s">
        <v>245</v>
      </c>
      <c r="T119" s="30" t="s">
        <v>245</v>
      </c>
      <c r="U119" s="30" t="s">
        <v>245</v>
      </c>
      <c r="V119" s="30" t="s">
        <v>245</v>
      </c>
      <c r="W119" s="30" t="s">
        <v>245</v>
      </c>
      <c r="X119" s="30" t="s">
        <v>245</v>
      </c>
      <c r="Y119" s="30" t="s">
        <v>245</v>
      </c>
      <c r="Z119" s="30" t="s">
        <v>245</v>
      </c>
      <c r="AA119" s="30" t="s">
        <v>1214</v>
      </c>
      <c r="AB119" s="30" t="s">
        <v>1215</v>
      </c>
      <c r="AC119" s="30" t="s">
        <v>245</v>
      </c>
      <c r="AD119" s="30" t="s">
        <v>245</v>
      </c>
      <c r="AE119" s="30" t="s">
        <v>245</v>
      </c>
      <c r="AF119" s="30" t="s">
        <v>245</v>
      </c>
      <c r="AG119" s="30" t="s">
        <v>245</v>
      </c>
      <c r="AH119" s="30" t="s">
        <v>245</v>
      </c>
      <c r="AI119" s="30" t="s">
        <v>245</v>
      </c>
      <c r="AJ119" s="30" t="s">
        <v>245</v>
      </c>
      <c r="AK119" s="30" t="s">
        <v>245</v>
      </c>
      <c r="AL119" s="30" t="s">
        <v>245</v>
      </c>
      <c r="AM119" s="30" t="s">
        <v>245</v>
      </c>
      <c r="AN119" s="30" t="s">
        <v>245</v>
      </c>
      <c r="AO119" s="30" t="s">
        <v>1216</v>
      </c>
      <c r="AP119" s="30" t="s">
        <v>1217</v>
      </c>
      <c r="AQ119" s="30" t="s">
        <v>245</v>
      </c>
      <c r="AR119" s="30" t="s">
        <v>245</v>
      </c>
      <c r="AS119" s="30" t="s">
        <v>245</v>
      </c>
      <c r="AT119" s="30" t="s">
        <v>286</v>
      </c>
      <c r="AU119" s="30">
        <v>2014</v>
      </c>
      <c r="AV119" s="30">
        <v>8</v>
      </c>
      <c r="AW119" s="30">
        <v>1</v>
      </c>
      <c r="AX119" s="30" t="s">
        <v>245</v>
      </c>
      <c r="AY119" s="30" t="s">
        <v>245</v>
      </c>
      <c r="AZ119" s="30" t="s">
        <v>245</v>
      </c>
      <c r="BA119" s="30" t="s">
        <v>245</v>
      </c>
      <c r="BB119" s="30">
        <v>226</v>
      </c>
      <c r="BC119" s="30">
        <v>244</v>
      </c>
      <c r="BD119" s="30" t="s">
        <v>245</v>
      </c>
      <c r="BE119" s="30" t="s">
        <v>1218</v>
      </c>
      <c r="BF119" s="30" t="str">
        <f>HYPERLINK("http://dx.doi.org/10.1038/ismej.2013.141","http://dx.doi.org/10.1038/ismej.2013.141")</f>
        <v>http://dx.doi.org/10.1038/ismej.2013.141</v>
      </c>
      <c r="BG119" s="30" t="s">
        <v>245</v>
      </c>
      <c r="BH119" s="30" t="s">
        <v>245</v>
      </c>
      <c r="BI119" s="30" t="s">
        <v>245</v>
      </c>
      <c r="BJ119" s="30" t="s">
        <v>245</v>
      </c>
      <c r="BK119" s="30" t="s">
        <v>245</v>
      </c>
      <c r="BL119" s="30" t="s">
        <v>245</v>
      </c>
      <c r="BM119" s="30" t="s">
        <v>245</v>
      </c>
      <c r="BN119" s="30">
        <v>24030594</v>
      </c>
      <c r="BO119" s="30" t="s">
        <v>245</v>
      </c>
      <c r="BP119" s="30" t="s">
        <v>245</v>
      </c>
      <c r="BQ119" s="30" t="s">
        <v>245</v>
      </c>
      <c r="BR119" s="30" t="s">
        <v>245</v>
      </c>
      <c r="BS119" s="30" t="s">
        <v>1219</v>
      </c>
      <c r="BT119" s="30" t="str">
        <f>HYPERLINK("https%3A%2F%2Fwww.webofscience.com%2Fwos%2Fwoscc%2Ffull-record%2FWOS:000328605200020","View Full Record in Web of Science")</f>
        <v>View Full Record in Web of Science</v>
      </c>
    </row>
    <row r="120" spans="1:72" x14ac:dyDescent="0.2">
      <c r="A120" s="30" t="s">
        <v>243</v>
      </c>
      <c r="B120" s="30" t="s">
        <v>1220</v>
      </c>
      <c r="C120" s="30" t="s">
        <v>245</v>
      </c>
      <c r="D120" s="30" t="s">
        <v>245</v>
      </c>
      <c r="E120" s="30" t="s">
        <v>245</v>
      </c>
      <c r="F120" s="30" t="s">
        <v>1221</v>
      </c>
      <c r="G120" s="30" t="s">
        <v>245</v>
      </c>
      <c r="H120" s="30" t="s">
        <v>245</v>
      </c>
      <c r="I120" s="30" t="s">
        <v>1222</v>
      </c>
      <c r="J120" s="30" t="s">
        <v>248</v>
      </c>
      <c r="K120" s="30" t="s">
        <v>245</v>
      </c>
      <c r="L120" s="30" t="s">
        <v>245</v>
      </c>
      <c r="M120" s="30" t="s">
        <v>245</v>
      </c>
      <c r="N120" s="30" t="s">
        <v>245</v>
      </c>
      <c r="O120" s="30" t="s">
        <v>245</v>
      </c>
      <c r="P120" s="30" t="s">
        <v>245</v>
      </c>
      <c r="Q120" s="30" t="s">
        <v>245</v>
      </c>
      <c r="R120" s="30" t="s">
        <v>245</v>
      </c>
      <c r="S120" s="30" t="s">
        <v>245</v>
      </c>
      <c r="T120" s="30" t="s">
        <v>245</v>
      </c>
      <c r="U120" s="30" t="s">
        <v>245</v>
      </c>
      <c r="V120" s="30" t="s">
        <v>245</v>
      </c>
      <c r="W120" s="30" t="s">
        <v>245</v>
      </c>
      <c r="X120" s="30" t="s">
        <v>245</v>
      </c>
      <c r="Y120" s="30" t="s">
        <v>245</v>
      </c>
      <c r="Z120" s="30" t="s">
        <v>245</v>
      </c>
      <c r="AA120" s="30" t="s">
        <v>1223</v>
      </c>
      <c r="AB120" s="30" t="s">
        <v>1224</v>
      </c>
      <c r="AC120" s="30" t="s">
        <v>245</v>
      </c>
      <c r="AD120" s="30" t="s">
        <v>245</v>
      </c>
      <c r="AE120" s="30" t="s">
        <v>245</v>
      </c>
      <c r="AF120" s="30" t="s">
        <v>245</v>
      </c>
      <c r="AG120" s="30" t="s">
        <v>245</v>
      </c>
      <c r="AH120" s="30" t="s">
        <v>245</v>
      </c>
      <c r="AI120" s="30" t="s">
        <v>245</v>
      </c>
      <c r="AJ120" s="30" t="s">
        <v>245</v>
      </c>
      <c r="AK120" s="30" t="s">
        <v>245</v>
      </c>
      <c r="AL120" s="30" t="s">
        <v>245</v>
      </c>
      <c r="AM120" s="30" t="s">
        <v>245</v>
      </c>
      <c r="AN120" s="30" t="s">
        <v>245</v>
      </c>
      <c r="AO120" s="30" t="s">
        <v>251</v>
      </c>
      <c r="AP120" s="30" t="s">
        <v>252</v>
      </c>
      <c r="AQ120" s="30" t="s">
        <v>245</v>
      </c>
      <c r="AR120" s="30" t="s">
        <v>245</v>
      </c>
      <c r="AS120" s="30" t="s">
        <v>245</v>
      </c>
      <c r="AT120" s="30" t="s">
        <v>245</v>
      </c>
      <c r="AU120" s="30">
        <v>2011</v>
      </c>
      <c r="AV120" s="30">
        <v>42</v>
      </c>
      <c r="AW120" s="30">
        <v>16</v>
      </c>
      <c r="AX120" s="30" t="s">
        <v>245</v>
      </c>
      <c r="AY120" s="30" t="s">
        <v>245</v>
      </c>
      <c r="AZ120" s="30" t="s">
        <v>245</v>
      </c>
      <c r="BA120" s="30" t="s">
        <v>245</v>
      </c>
      <c r="BB120" s="30">
        <v>1913</v>
      </c>
      <c r="BC120" s="30">
        <v>1933</v>
      </c>
      <c r="BD120" s="30" t="s">
        <v>245</v>
      </c>
      <c r="BE120" s="30" t="s">
        <v>1225</v>
      </c>
      <c r="BF120" s="30" t="str">
        <f>HYPERLINK("http://dx.doi.org/10.1080/00103624.2011.591467","http://dx.doi.org/10.1080/00103624.2011.591467")</f>
        <v>http://dx.doi.org/10.1080/00103624.2011.591467</v>
      </c>
      <c r="BG120" s="30" t="s">
        <v>245</v>
      </c>
      <c r="BH120" s="30" t="s">
        <v>245</v>
      </c>
      <c r="BI120" s="30" t="s">
        <v>245</v>
      </c>
      <c r="BJ120" s="30" t="s">
        <v>245</v>
      </c>
      <c r="BK120" s="30" t="s">
        <v>245</v>
      </c>
      <c r="BL120" s="30" t="s">
        <v>245</v>
      </c>
      <c r="BM120" s="30" t="s">
        <v>245</v>
      </c>
      <c r="BN120" s="30" t="s">
        <v>245</v>
      </c>
      <c r="BO120" s="30" t="s">
        <v>245</v>
      </c>
      <c r="BP120" s="30" t="s">
        <v>245</v>
      </c>
      <c r="BQ120" s="30" t="s">
        <v>245</v>
      </c>
      <c r="BR120" s="30" t="s">
        <v>245</v>
      </c>
      <c r="BS120" s="30" t="s">
        <v>1226</v>
      </c>
      <c r="BT120" s="30" t="str">
        <f>HYPERLINK("https%3A%2F%2Fwww.webofscience.com%2Fwos%2Fwoscc%2Ffull-record%2FWOS:000299735100002","View Full Record in Web of Science")</f>
        <v>View Full Record in Web of Science</v>
      </c>
    </row>
    <row r="121" spans="1:72" x14ac:dyDescent="0.2">
      <c r="A121" s="30" t="s">
        <v>243</v>
      </c>
      <c r="B121" s="30" t="s">
        <v>1227</v>
      </c>
      <c r="C121" s="30" t="s">
        <v>245</v>
      </c>
      <c r="D121" s="30" t="s">
        <v>245</v>
      </c>
      <c r="E121" s="30" t="s">
        <v>245</v>
      </c>
      <c r="F121" s="30" t="s">
        <v>1228</v>
      </c>
      <c r="G121" s="30" t="s">
        <v>245</v>
      </c>
      <c r="H121" s="30" t="s">
        <v>245</v>
      </c>
      <c r="I121" s="30" t="s">
        <v>1229</v>
      </c>
      <c r="J121" s="30" t="s">
        <v>402</v>
      </c>
      <c r="K121" s="30" t="s">
        <v>245</v>
      </c>
      <c r="L121" s="30" t="s">
        <v>245</v>
      </c>
      <c r="M121" s="30" t="s">
        <v>245</v>
      </c>
      <c r="N121" s="30" t="s">
        <v>245</v>
      </c>
      <c r="O121" s="30" t="s">
        <v>245</v>
      </c>
      <c r="P121" s="30" t="s">
        <v>245</v>
      </c>
      <c r="Q121" s="30" t="s">
        <v>245</v>
      </c>
      <c r="R121" s="30" t="s">
        <v>245</v>
      </c>
      <c r="S121" s="30" t="s">
        <v>245</v>
      </c>
      <c r="T121" s="30" t="s">
        <v>245</v>
      </c>
      <c r="U121" s="30" t="s">
        <v>245</v>
      </c>
      <c r="V121" s="30" t="s">
        <v>245</v>
      </c>
      <c r="W121" s="30" t="s">
        <v>245</v>
      </c>
      <c r="X121" s="30" t="s">
        <v>245</v>
      </c>
      <c r="Y121" s="30" t="s">
        <v>245</v>
      </c>
      <c r="Z121" s="30" t="s">
        <v>245</v>
      </c>
      <c r="AA121" s="30" t="s">
        <v>245</v>
      </c>
      <c r="AB121" s="30" t="s">
        <v>1230</v>
      </c>
      <c r="AC121" s="30" t="s">
        <v>245</v>
      </c>
      <c r="AD121" s="30" t="s">
        <v>245</v>
      </c>
      <c r="AE121" s="30" t="s">
        <v>245</v>
      </c>
      <c r="AF121" s="30" t="s">
        <v>245</v>
      </c>
      <c r="AG121" s="30" t="s">
        <v>245</v>
      </c>
      <c r="AH121" s="30" t="s">
        <v>245</v>
      </c>
      <c r="AI121" s="30" t="s">
        <v>245</v>
      </c>
      <c r="AJ121" s="30" t="s">
        <v>245</v>
      </c>
      <c r="AK121" s="30" t="s">
        <v>245</v>
      </c>
      <c r="AL121" s="30" t="s">
        <v>245</v>
      </c>
      <c r="AM121" s="30" t="s">
        <v>245</v>
      </c>
      <c r="AN121" s="30" t="s">
        <v>245</v>
      </c>
      <c r="AO121" s="30" t="s">
        <v>405</v>
      </c>
      <c r="AP121" s="30" t="s">
        <v>406</v>
      </c>
      <c r="AQ121" s="30" t="s">
        <v>245</v>
      </c>
      <c r="AR121" s="30" t="s">
        <v>245</v>
      </c>
      <c r="AS121" s="30" t="s">
        <v>245</v>
      </c>
      <c r="AT121" s="30" t="s">
        <v>454</v>
      </c>
      <c r="AU121" s="30">
        <v>2015</v>
      </c>
      <c r="AV121" s="30">
        <v>15</v>
      </c>
      <c r="AW121" s="30">
        <v>9</v>
      </c>
      <c r="AX121" s="30" t="s">
        <v>245</v>
      </c>
      <c r="AY121" s="30" t="s">
        <v>245</v>
      </c>
      <c r="AZ121" s="30" t="s">
        <v>245</v>
      </c>
      <c r="BA121" s="30" t="s">
        <v>245</v>
      </c>
      <c r="BB121" s="30">
        <v>1968</v>
      </c>
      <c r="BC121" s="30">
        <v>1976</v>
      </c>
      <c r="BD121" s="30" t="s">
        <v>245</v>
      </c>
      <c r="BE121" s="30" t="s">
        <v>1231</v>
      </c>
      <c r="BF121" s="30" t="str">
        <f>HYPERLINK("http://dx.doi.org/10.1007/s11368-015-1138-y","http://dx.doi.org/10.1007/s11368-015-1138-y")</f>
        <v>http://dx.doi.org/10.1007/s11368-015-1138-y</v>
      </c>
      <c r="BG121" s="30" t="s">
        <v>245</v>
      </c>
      <c r="BH121" s="30" t="s">
        <v>245</v>
      </c>
      <c r="BI121" s="30" t="s">
        <v>245</v>
      </c>
      <c r="BJ121" s="30" t="s">
        <v>245</v>
      </c>
      <c r="BK121" s="30" t="s">
        <v>245</v>
      </c>
      <c r="BL121" s="30" t="s">
        <v>245</v>
      </c>
      <c r="BM121" s="30" t="s">
        <v>245</v>
      </c>
      <c r="BN121" s="30" t="s">
        <v>245</v>
      </c>
      <c r="BO121" s="30" t="s">
        <v>245</v>
      </c>
      <c r="BP121" s="30" t="s">
        <v>245</v>
      </c>
      <c r="BQ121" s="30" t="s">
        <v>245</v>
      </c>
      <c r="BR121" s="30" t="s">
        <v>245</v>
      </c>
      <c r="BS121" s="30" t="s">
        <v>1232</v>
      </c>
      <c r="BT121" s="30" t="str">
        <f>HYPERLINK("https%3A%2F%2Fwww.webofscience.com%2Fwos%2Fwoscc%2Ffull-record%2FWOS:000359938600013","View Full Record in Web of Science")</f>
        <v>View Full Record in Web of Science</v>
      </c>
    </row>
    <row r="122" spans="1:72" x14ac:dyDescent="0.2">
      <c r="A122" s="30" t="s">
        <v>243</v>
      </c>
      <c r="B122" s="30" t="s">
        <v>1233</v>
      </c>
      <c r="C122" s="30" t="s">
        <v>245</v>
      </c>
      <c r="D122" s="30" t="s">
        <v>245</v>
      </c>
      <c r="E122" s="30" t="s">
        <v>245</v>
      </c>
      <c r="F122" s="30" t="s">
        <v>1234</v>
      </c>
      <c r="G122" s="30" t="s">
        <v>245</v>
      </c>
      <c r="H122" s="30" t="s">
        <v>245</v>
      </c>
      <c r="I122" s="30" t="s">
        <v>1235</v>
      </c>
      <c r="J122" s="30" t="s">
        <v>413</v>
      </c>
      <c r="K122" s="30" t="s">
        <v>245</v>
      </c>
      <c r="L122" s="30" t="s">
        <v>245</v>
      </c>
      <c r="M122" s="30" t="s">
        <v>245</v>
      </c>
      <c r="N122" s="30" t="s">
        <v>245</v>
      </c>
      <c r="O122" s="30" t="s">
        <v>245</v>
      </c>
      <c r="P122" s="30" t="s">
        <v>245</v>
      </c>
      <c r="Q122" s="30" t="s">
        <v>245</v>
      </c>
      <c r="R122" s="30" t="s">
        <v>245</v>
      </c>
      <c r="S122" s="30" t="s">
        <v>245</v>
      </c>
      <c r="T122" s="30" t="s">
        <v>245</v>
      </c>
      <c r="U122" s="30" t="s">
        <v>245</v>
      </c>
      <c r="V122" s="30" t="s">
        <v>245</v>
      </c>
      <c r="W122" s="30" t="s">
        <v>245</v>
      </c>
      <c r="X122" s="30" t="s">
        <v>245</v>
      </c>
      <c r="Y122" s="30" t="s">
        <v>245</v>
      </c>
      <c r="Z122" s="30" t="s">
        <v>245</v>
      </c>
      <c r="AA122" s="30" t="s">
        <v>1236</v>
      </c>
      <c r="AB122" s="30" t="s">
        <v>245</v>
      </c>
      <c r="AC122" s="30" t="s">
        <v>245</v>
      </c>
      <c r="AD122" s="30" t="s">
        <v>245</v>
      </c>
      <c r="AE122" s="30" t="s">
        <v>245</v>
      </c>
      <c r="AF122" s="30" t="s">
        <v>245</v>
      </c>
      <c r="AG122" s="30" t="s">
        <v>245</v>
      </c>
      <c r="AH122" s="30" t="s">
        <v>245</v>
      </c>
      <c r="AI122" s="30" t="s">
        <v>245</v>
      </c>
      <c r="AJ122" s="30" t="s">
        <v>245</v>
      </c>
      <c r="AK122" s="30" t="s">
        <v>245</v>
      </c>
      <c r="AL122" s="30" t="s">
        <v>245</v>
      </c>
      <c r="AM122" s="30" t="s">
        <v>245</v>
      </c>
      <c r="AN122" s="30" t="s">
        <v>245</v>
      </c>
      <c r="AO122" s="30" t="s">
        <v>416</v>
      </c>
      <c r="AP122" s="30" t="s">
        <v>417</v>
      </c>
      <c r="AQ122" s="30" t="s">
        <v>245</v>
      </c>
      <c r="AR122" s="30" t="s">
        <v>245</v>
      </c>
      <c r="AS122" s="30" t="s">
        <v>245</v>
      </c>
      <c r="AT122" s="30" t="s">
        <v>1237</v>
      </c>
      <c r="AU122" s="30">
        <v>2017</v>
      </c>
      <c r="AV122" s="30">
        <v>584</v>
      </c>
      <c r="AW122" s="30" t="s">
        <v>245</v>
      </c>
      <c r="AX122" s="30" t="s">
        <v>245</v>
      </c>
      <c r="AY122" s="30" t="s">
        <v>245</v>
      </c>
      <c r="AZ122" s="30" t="s">
        <v>245</v>
      </c>
      <c r="BA122" s="30" t="s">
        <v>245</v>
      </c>
      <c r="BB122" s="30">
        <v>776</v>
      </c>
      <c r="BC122" s="30">
        <v>782</v>
      </c>
      <c r="BD122" s="30" t="s">
        <v>245</v>
      </c>
      <c r="BE122" s="30" t="s">
        <v>1238</v>
      </c>
      <c r="BF122" s="30" t="str">
        <f>HYPERLINK("http://dx.doi.org/10.1016/j.scitotenv.2017.01.115","http://dx.doi.org/10.1016/j.scitotenv.2017.01.115")</f>
        <v>http://dx.doi.org/10.1016/j.scitotenv.2017.01.115</v>
      </c>
      <c r="BG122" s="30" t="s">
        <v>245</v>
      </c>
      <c r="BH122" s="30" t="s">
        <v>245</v>
      </c>
      <c r="BI122" s="30" t="s">
        <v>245</v>
      </c>
      <c r="BJ122" s="30" t="s">
        <v>245</v>
      </c>
      <c r="BK122" s="30" t="s">
        <v>245</v>
      </c>
      <c r="BL122" s="30" t="s">
        <v>245</v>
      </c>
      <c r="BM122" s="30" t="s">
        <v>245</v>
      </c>
      <c r="BN122" s="30">
        <v>28131448</v>
      </c>
      <c r="BO122" s="30" t="s">
        <v>245</v>
      </c>
      <c r="BP122" s="30" t="s">
        <v>245</v>
      </c>
      <c r="BQ122" s="30" t="s">
        <v>245</v>
      </c>
      <c r="BR122" s="30" t="s">
        <v>245</v>
      </c>
      <c r="BS122" s="30" t="s">
        <v>1239</v>
      </c>
      <c r="BT122" s="30" t="str">
        <f>HYPERLINK("https%3A%2F%2Fwww.webofscience.com%2Fwos%2Fwoscc%2Ffull-record%2FWOS:000399358500075","View Full Record in Web of Science")</f>
        <v>View Full Record in Web of Science</v>
      </c>
    </row>
    <row r="123" spans="1:72" x14ac:dyDescent="0.2">
      <c r="A123" s="30" t="s">
        <v>243</v>
      </c>
      <c r="B123" s="30" t="s">
        <v>1240</v>
      </c>
      <c r="C123" s="30" t="s">
        <v>245</v>
      </c>
      <c r="D123" s="30" t="s">
        <v>245</v>
      </c>
      <c r="E123" s="30" t="s">
        <v>245</v>
      </c>
      <c r="F123" s="30" t="s">
        <v>1241</v>
      </c>
      <c r="G123" s="30" t="s">
        <v>245</v>
      </c>
      <c r="H123" s="30" t="s">
        <v>245</v>
      </c>
      <c r="I123" s="30" t="s">
        <v>1242</v>
      </c>
      <c r="J123" s="30" t="s">
        <v>1243</v>
      </c>
      <c r="K123" s="30" t="s">
        <v>245</v>
      </c>
      <c r="L123" s="30" t="s">
        <v>245</v>
      </c>
      <c r="M123" s="30" t="s">
        <v>245</v>
      </c>
      <c r="N123" s="30" t="s">
        <v>245</v>
      </c>
      <c r="O123" s="30" t="s">
        <v>245</v>
      </c>
      <c r="P123" s="30" t="s">
        <v>245</v>
      </c>
      <c r="Q123" s="30" t="s">
        <v>245</v>
      </c>
      <c r="R123" s="30" t="s">
        <v>245</v>
      </c>
      <c r="S123" s="30" t="s">
        <v>245</v>
      </c>
      <c r="T123" s="30" t="s">
        <v>245</v>
      </c>
      <c r="U123" s="30" t="s">
        <v>245</v>
      </c>
      <c r="V123" s="30" t="s">
        <v>245</v>
      </c>
      <c r="W123" s="30" t="s">
        <v>245</v>
      </c>
      <c r="X123" s="30" t="s">
        <v>245</v>
      </c>
      <c r="Y123" s="30" t="s">
        <v>245</v>
      </c>
      <c r="Z123" s="30" t="s">
        <v>245</v>
      </c>
      <c r="AA123" s="30" t="s">
        <v>1244</v>
      </c>
      <c r="AB123" s="30" t="s">
        <v>1245</v>
      </c>
      <c r="AC123" s="30" t="s">
        <v>245</v>
      </c>
      <c r="AD123" s="30" t="s">
        <v>245</v>
      </c>
      <c r="AE123" s="30" t="s">
        <v>245</v>
      </c>
      <c r="AF123" s="30" t="s">
        <v>245</v>
      </c>
      <c r="AG123" s="30" t="s">
        <v>245</v>
      </c>
      <c r="AH123" s="30" t="s">
        <v>245</v>
      </c>
      <c r="AI123" s="30" t="s">
        <v>245</v>
      </c>
      <c r="AJ123" s="30" t="s">
        <v>245</v>
      </c>
      <c r="AK123" s="30" t="s">
        <v>245</v>
      </c>
      <c r="AL123" s="30" t="s">
        <v>245</v>
      </c>
      <c r="AM123" s="30" t="s">
        <v>245</v>
      </c>
      <c r="AN123" s="30" t="s">
        <v>245</v>
      </c>
      <c r="AO123" s="30" t="s">
        <v>1246</v>
      </c>
      <c r="AP123" s="30" t="s">
        <v>1247</v>
      </c>
      <c r="AQ123" s="30" t="s">
        <v>245</v>
      </c>
      <c r="AR123" s="30" t="s">
        <v>245</v>
      </c>
      <c r="AS123" s="30" t="s">
        <v>245</v>
      </c>
      <c r="AT123" s="30" t="s">
        <v>265</v>
      </c>
      <c r="AU123" s="30">
        <v>2020</v>
      </c>
      <c r="AV123" s="30">
        <v>75</v>
      </c>
      <c r="AW123" s="30">
        <v>6</v>
      </c>
      <c r="AX123" s="30" t="s">
        <v>245</v>
      </c>
      <c r="AY123" s="30" t="s">
        <v>245</v>
      </c>
      <c r="AZ123" s="30" t="s">
        <v>298</v>
      </c>
      <c r="BA123" s="30" t="s">
        <v>245</v>
      </c>
      <c r="BB123" s="30">
        <v>873</v>
      </c>
      <c r="BC123" s="30">
        <v>884</v>
      </c>
      <c r="BD123" s="30" t="s">
        <v>245</v>
      </c>
      <c r="BE123" s="30" t="s">
        <v>1248</v>
      </c>
      <c r="BF123" s="30" t="str">
        <f>HYPERLINK("http://dx.doi.org/10.2478/s11756-019-00335-7","http://dx.doi.org/10.2478/s11756-019-00335-7")</f>
        <v>http://dx.doi.org/10.2478/s11756-019-00335-7</v>
      </c>
      <c r="BG123" s="30" t="s">
        <v>245</v>
      </c>
      <c r="BH123" s="30" t="s">
        <v>245</v>
      </c>
      <c r="BI123" s="30" t="s">
        <v>245</v>
      </c>
      <c r="BJ123" s="30" t="s">
        <v>245</v>
      </c>
      <c r="BK123" s="30" t="s">
        <v>245</v>
      </c>
      <c r="BL123" s="30" t="s">
        <v>245</v>
      </c>
      <c r="BM123" s="30" t="s">
        <v>245</v>
      </c>
      <c r="BN123" s="30" t="s">
        <v>245</v>
      </c>
      <c r="BO123" s="30" t="s">
        <v>245</v>
      </c>
      <c r="BP123" s="30" t="s">
        <v>245</v>
      </c>
      <c r="BQ123" s="30" t="s">
        <v>245</v>
      </c>
      <c r="BR123" s="30" t="s">
        <v>245</v>
      </c>
      <c r="BS123" s="30" t="s">
        <v>1249</v>
      </c>
      <c r="BT123" s="30" t="str">
        <f>HYPERLINK("https%3A%2F%2Fwww.webofscience.com%2Fwos%2Fwoscc%2Ffull-record%2FWOS:000538246000010","View Full Record in Web of Science")</f>
        <v>View Full Record in Web of Science</v>
      </c>
    </row>
    <row r="124" spans="1:72" x14ac:dyDescent="0.2">
      <c r="A124" s="30" t="s">
        <v>243</v>
      </c>
      <c r="B124" s="30" t="s">
        <v>1250</v>
      </c>
      <c r="C124" s="30" t="s">
        <v>245</v>
      </c>
      <c r="D124" s="30" t="s">
        <v>245</v>
      </c>
      <c r="E124" s="30" t="s">
        <v>245</v>
      </c>
      <c r="F124" s="30" t="s">
        <v>1251</v>
      </c>
      <c r="G124" s="30" t="s">
        <v>245</v>
      </c>
      <c r="H124" s="30" t="s">
        <v>245</v>
      </c>
      <c r="I124" s="30" t="s">
        <v>1252</v>
      </c>
      <c r="J124" s="30" t="s">
        <v>541</v>
      </c>
      <c r="K124" s="30" t="s">
        <v>245</v>
      </c>
      <c r="L124" s="30" t="s">
        <v>245</v>
      </c>
      <c r="M124" s="30" t="s">
        <v>245</v>
      </c>
      <c r="N124" s="30" t="s">
        <v>245</v>
      </c>
      <c r="O124" s="30" t="s">
        <v>245</v>
      </c>
      <c r="P124" s="30" t="s">
        <v>245</v>
      </c>
      <c r="Q124" s="30" t="s">
        <v>245</v>
      </c>
      <c r="R124" s="30" t="s">
        <v>245</v>
      </c>
      <c r="S124" s="30" t="s">
        <v>245</v>
      </c>
      <c r="T124" s="30" t="s">
        <v>245</v>
      </c>
      <c r="U124" s="30" t="s">
        <v>245</v>
      </c>
      <c r="V124" s="30" t="s">
        <v>245</v>
      </c>
      <c r="W124" s="30" t="s">
        <v>245</v>
      </c>
      <c r="X124" s="30" t="s">
        <v>245</v>
      </c>
      <c r="Y124" s="30" t="s">
        <v>245</v>
      </c>
      <c r="Z124" s="30" t="s">
        <v>245</v>
      </c>
      <c r="AA124" s="30" t="s">
        <v>1253</v>
      </c>
      <c r="AB124" s="30" t="s">
        <v>1254</v>
      </c>
      <c r="AC124" s="30" t="s">
        <v>245</v>
      </c>
      <c r="AD124" s="30" t="s">
        <v>245</v>
      </c>
      <c r="AE124" s="30" t="s">
        <v>245</v>
      </c>
      <c r="AF124" s="30" t="s">
        <v>245</v>
      </c>
      <c r="AG124" s="30" t="s">
        <v>245</v>
      </c>
      <c r="AH124" s="30" t="s">
        <v>245</v>
      </c>
      <c r="AI124" s="30" t="s">
        <v>245</v>
      </c>
      <c r="AJ124" s="30" t="s">
        <v>245</v>
      </c>
      <c r="AK124" s="30" t="s">
        <v>245</v>
      </c>
      <c r="AL124" s="30" t="s">
        <v>245</v>
      </c>
      <c r="AM124" s="30" t="s">
        <v>245</v>
      </c>
      <c r="AN124" s="30" t="s">
        <v>245</v>
      </c>
      <c r="AO124" s="30" t="s">
        <v>544</v>
      </c>
      <c r="AP124" s="30" t="s">
        <v>545</v>
      </c>
      <c r="AQ124" s="30" t="s">
        <v>245</v>
      </c>
      <c r="AR124" s="30" t="s">
        <v>245</v>
      </c>
      <c r="AS124" s="30" t="s">
        <v>245</v>
      </c>
      <c r="AT124" s="30" t="s">
        <v>635</v>
      </c>
      <c r="AU124" s="30">
        <v>2020</v>
      </c>
      <c r="AV124" s="30">
        <v>301</v>
      </c>
      <c r="AW124" s="30" t="s">
        <v>245</v>
      </c>
      <c r="AX124" s="30" t="s">
        <v>245</v>
      </c>
      <c r="AY124" s="30" t="s">
        <v>245</v>
      </c>
      <c r="AZ124" s="30" t="s">
        <v>245</v>
      </c>
      <c r="BA124" s="30" t="s">
        <v>245</v>
      </c>
      <c r="BB124" s="30" t="s">
        <v>245</v>
      </c>
      <c r="BC124" s="30" t="s">
        <v>245</v>
      </c>
      <c r="BD124" s="30">
        <v>107029</v>
      </c>
      <c r="BE124" s="30" t="s">
        <v>1255</v>
      </c>
      <c r="BF124" s="30" t="str">
        <f>HYPERLINK("http://dx.doi.org/10.1016/j.agee.2020.107029","http://dx.doi.org/10.1016/j.agee.2020.107029")</f>
        <v>http://dx.doi.org/10.1016/j.agee.2020.107029</v>
      </c>
      <c r="BG124" s="30" t="s">
        <v>245</v>
      </c>
      <c r="BH124" s="30" t="s">
        <v>245</v>
      </c>
      <c r="BI124" s="30" t="s">
        <v>245</v>
      </c>
      <c r="BJ124" s="30" t="s">
        <v>245</v>
      </c>
      <c r="BK124" s="30" t="s">
        <v>245</v>
      </c>
      <c r="BL124" s="30" t="s">
        <v>245</v>
      </c>
      <c r="BM124" s="30" t="s">
        <v>245</v>
      </c>
      <c r="BN124" s="30" t="s">
        <v>245</v>
      </c>
      <c r="BO124" s="30" t="s">
        <v>245</v>
      </c>
      <c r="BP124" s="30" t="s">
        <v>245</v>
      </c>
      <c r="BQ124" s="30" t="s">
        <v>245</v>
      </c>
      <c r="BR124" s="30" t="s">
        <v>245</v>
      </c>
      <c r="BS124" s="30" t="s">
        <v>1256</v>
      </c>
      <c r="BT124" s="30" t="str">
        <f>HYPERLINK("https%3A%2F%2Fwww.webofscience.com%2Fwos%2Fwoscc%2Ffull-record%2FWOS:000553393400018","View Full Record in Web of Science")</f>
        <v>View Full Record in Web of Science</v>
      </c>
    </row>
    <row r="125" spans="1:72" x14ac:dyDescent="0.2">
      <c r="A125" s="30" t="s">
        <v>243</v>
      </c>
      <c r="B125" s="30" t="s">
        <v>1257</v>
      </c>
      <c r="C125" s="30" t="s">
        <v>245</v>
      </c>
      <c r="D125" s="30" t="s">
        <v>245</v>
      </c>
      <c r="E125" s="30" t="s">
        <v>245</v>
      </c>
      <c r="F125" s="30" t="s">
        <v>1258</v>
      </c>
      <c r="G125" s="30" t="s">
        <v>245</v>
      </c>
      <c r="H125" s="30" t="s">
        <v>245</v>
      </c>
      <c r="I125" s="30" t="s">
        <v>1259</v>
      </c>
      <c r="J125" s="30" t="s">
        <v>282</v>
      </c>
      <c r="K125" s="30" t="s">
        <v>245</v>
      </c>
      <c r="L125" s="30" t="s">
        <v>245</v>
      </c>
      <c r="M125" s="30" t="s">
        <v>245</v>
      </c>
      <c r="N125" s="30" t="s">
        <v>245</v>
      </c>
      <c r="O125" s="30" t="s">
        <v>245</v>
      </c>
      <c r="P125" s="30" t="s">
        <v>245</v>
      </c>
      <c r="Q125" s="30" t="s">
        <v>245</v>
      </c>
      <c r="R125" s="30" t="s">
        <v>245</v>
      </c>
      <c r="S125" s="30" t="s">
        <v>245</v>
      </c>
      <c r="T125" s="30" t="s">
        <v>245</v>
      </c>
      <c r="U125" s="30" t="s">
        <v>245</v>
      </c>
      <c r="V125" s="30" t="s">
        <v>245</v>
      </c>
      <c r="W125" s="30" t="s">
        <v>245</v>
      </c>
      <c r="X125" s="30" t="s">
        <v>245</v>
      </c>
      <c r="Y125" s="30" t="s">
        <v>245</v>
      </c>
      <c r="Z125" s="30" t="s">
        <v>245</v>
      </c>
      <c r="AA125" s="30" t="s">
        <v>245</v>
      </c>
      <c r="AB125" s="30" t="s">
        <v>1260</v>
      </c>
      <c r="AC125" s="30" t="s">
        <v>245</v>
      </c>
      <c r="AD125" s="30" t="s">
        <v>245</v>
      </c>
      <c r="AE125" s="30" t="s">
        <v>245</v>
      </c>
      <c r="AF125" s="30" t="s">
        <v>245</v>
      </c>
      <c r="AG125" s="30" t="s">
        <v>245</v>
      </c>
      <c r="AH125" s="30" t="s">
        <v>245</v>
      </c>
      <c r="AI125" s="30" t="s">
        <v>245</v>
      </c>
      <c r="AJ125" s="30" t="s">
        <v>245</v>
      </c>
      <c r="AK125" s="30" t="s">
        <v>245</v>
      </c>
      <c r="AL125" s="30" t="s">
        <v>245</v>
      </c>
      <c r="AM125" s="30" t="s">
        <v>245</v>
      </c>
      <c r="AN125" s="30" t="s">
        <v>245</v>
      </c>
      <c r="AO125" s="30" t="s">
        <v>285</v>
      </c>
      <c r="AP125" s="30" t="s">
        <v>370</v>
      </c>
      <c r="AQ125" s="30" t="s">
        <v>245</v>
      </c>
      <c r="AR125" s="30" t="s">
        <v>245</v>
      </c>
      <c r="AS125" s="30" t="s">
        <v>245</v>
      </c>
      <c r="AT125" s="30" t="s">
        <v>354</v>
      </c>
      <c r="AU125" s="30">
        <v>2019</v>
      </c>
      <c r="AV125" s="30">
        <v>131</v>
      </c>
      <c r="AW125" s="30" t="s">
        <v>245</v>
      </c>
      <c r="AX125" s="30" t="s">
        <v>245</v>
      </c>
      <c r="AY125" s="30" t="s">
        <v>245</v>
      </c>
      <c r="AZ125" s="30" t="s">
        <v>245</v>
      </c>
      <c r="BA125" s="30" t="s">
        <v>245</v>
      </c>
      <c r="BB125" s="30">
        <v>44</v>
      </c>
      <c r="BC125" s="30">
        <v>53</v>
      </c>
      <c r="BD125" s="30" t="s">
        <v>245</v>
      </c>
      <c r="BE125" s="30" t="s">
        <v>1261</v>
      </c>
      <c r="BF125" s="30" t="str">
        <f>HYPERLINK("http://dx.doi.org/10.1016/j.soilbio.2018.12.023","http://dx.doi.org/10.1016/j.soilbio.2018.12.023")</f>
        <v>http://dx.doi.org/10.1016/j.soilbio.2018.12.023</v>
      </c>
      <c r="BG125" s="30" t="s">
        <v>245</v>
      </c>
      <c r="BH125" s="30" t="s">
        <v>245</v>
      </c>
      <c r="BI125" s="30" t="s">
        <v>245</v>
      </c>
      <c r="BJ125" s="30" t="s">
        <v>245</v>
      </c>
      <c r="BK125" s="30" t="s">
        <v>245</v>
      </c>
      <c r="BL125" s="30" t="s">
        <v>245</v>
      </c>
      <c r="BM125" s="30" t="s">
        <v>245</v>
      </c>
      <c r="BN125" s="30" t="s">
        <v>245</v>
      </c>
      <c r="BO125" s="30" t="s">
        <v>245</v>
      </c>
      <c r="BP125" s="30" t="s">
        <v>245</v>
      </c>
      <c r="BQ125" s="30" t="s">
        <v>245</v>
      </c>
      <c r="BR125" s="30" t="s">
        <v>245</v>
      </c>
      <c r="BS125" s="30" t="s">
        <v>1262</v>
      </c>
      <c r="BT125" s="30" t="str">
        <f>HYPERLINK("https%3A%2F%2Fwww.webofscience.com%2Fwos%2Fwoscc%2Ffull-record%2FWOS:000459841300006","View Full Record in Web of Science")</f>
        <v>View Full Record in Web of Science</v>
      </c>
    </row>
    <row r="126" spans="1:72" x14ac:dyDescent="0.2">
      <c r="A126" s="30" t="s">
        <v>243</v>
      </c>
      <c r="B126" s="30" t="s">
        <v>1263</v>
      </c>
      <c r="C126" s="30" t="s">
        <v>245</v>
      </c>
      <c r="D126" s="30" t="s">
        <v>245</v>
      </c>
      <c r="E126" s="30" t="s">
        <v>245</v>
      </c>
      <c r="F126" s="30" t="s">
        <v>1264</v>
      </c>
      <c r="G126" s="30" t="s">
        <v>245</v>
      </c>
      <c r="H126" s="30" t="s">
        <v>245</v>
      </c>
      <c r="I126" s="30" t="s">
        <v>1265</v>
      </c>
      <c r="J126" s="30" t="s">
        <v>765</v>
      </c>
      <c r="K126" s="30" t="s">
        <v>245</v>
      </c>
      <c r="L126" s="30" t="s">
        <v>245</v>
      </c>
      <c r="M126" s="30" t="s">
        <v>245</v>
      </c>
      <c r="N126" s="30" t="s">
        <v>245</v>
      </c>
      <c r="O126" s="30" t="s">
        <v>245</v>
      </c>
      <c r="P126" s="30" t="s">
        <v>245</v>
      </c>
      <c r="Q126" s="30" t="s">
        <v>245</v>
      </c>
      <c r="R126" s="30" t="s">
        <v>245</v>
      </c>
      <c r="S126" s="30" t="s">
        <v>245</v>
      </c>
      <c r="T126" s="30" t="s">
        <v>245</v>
      </c>
      <c r="U126" s="30" t="s">
        <v>245</v>
      </c>
      <c r="V126" s="30" t="s">
        <v>245</v>
      </c>
      <c r="W126" s="30" t="s">
        <v>245</v>
      </c>
      <c r="X126" s="30" t="s">
        <v>245</v>
      </c>
      <c r="Y126" s="30" t="s">
        <v>245</v>
      </c>
      <c r="Z126" s="30" t="s">
        <v>245</v>
      </c>
      <c r="AA126" s="30" t="s">
        <v>1266</v>
      </c>
      <c r="AB126" s="30" t="s">
        <v>1267</v>
      </c>
      <c r="AC126" s="30" t="s">
        <v>245</v>
      </c>
      <c r="AD126" s="30" t="s">
        <v>245</v>
      </c>
      <c r="AE126" s="30" t="s">
        <v>245</v>
      </c>
      <c r="AF126" s="30" t="s">
        <v>245</v>
      </c>
      <c r="AG126" s="30" t="s">
        <v>245</v>
      </c>
      <c r="AH126" s="30" t="s">
        <v>245</v>
      </c>
      <c r="AI126" s="30" t="s">
        <v>245</v>
      </c>
      <c r="AJ126" s="30" t="s">
        <v>245</v>
      </c>
      <c r="AK126" s="30" t="s">
        <v>245</v>
      </c>
      <c r="AL126" s="30" t="s">
        <v>245</v>
      </c>
      <c r="AM126" s="30" t="s">
        <v>245</v>
      </c>
      <c r="AN126" s="30" t="s">
        <v>245</v>
      </c>
      <c r="AO126" s="30" t="s">
        <v>768</v>
      </c>
      <c r="AP126" s="30" t="s">
        <v>769</v>
      </c>
      <c r="AQ126" s="30" t="s">
        <v>245</v>
      </c>
      <c r="AR126" s="30" t="s">
        <v>245</v>
      </c>
      <c r="AS126" s="30" t="s">
        <v>245</v>
      </c>
      <c r="AT126" s="30" t="s">
        <v>365</v>
      </c>
      <c r="AU126" s="30">
        <v>2012</v>
      </c>
      <c r="AV126" s="30">
        <v>47</v>
      </c>
      <c r="AW126" s="30" t="s">
        <v>245</v>
      </c>
      <c r="AX126" s="30" t="s">
        <v>245</v>
      </c>
      <c r="AY126" s="30" t="s">
        <v>245</v>
      </c>
      <c r="AZ126" s="30" t="s">
        <v>245</v>
      </c>
      <c r="BA126" s="30" t="s">
        <v>245</v>
      </c>
      <c r="BB126" s="30">
        <v>373</v>
      </c>
      <c r="BC126" s="30">
        <v>380</v>
      </c>
      <c r="BD126" s="30" t="s">
        <v>245</v>
      </c>
      <c r="BE126" s="30" t="s">
        <v>1268</v>
      </c>
      <c r="BF126" s="30" t="str">
        <f>HYPERLINK("http://dx.doi.org/10.1016/j.atmosenv.2011.10.052","http://dx.doi.org/10.1016/j.atmosenv.2011.10.052")</f>
        <v>http://dx.doi.org/10.1016/j.atmosenv.2011.10.052</v>
      </c>
      <c r="BG126" s="30" t="s">
        <v>245</v>
      </c>
      <c r="BH126" s="30" t="s">
        <v>245</v>
      </c>
      <c r="BI126" s="30" t="s">
        <v>245</v>
      </c>
      <c r="BJ126" s="30" t="s">
        <v>245</v>
      </c>
      <c r="BK126" s="30" t="s">
        <v>245</v>
      </c>
      <c r="BL126" s="30" t="s">
        <v>245</v>
      </c>
      <c r="BM126" s="30" t="s">
        <v>245</v>
      </c>
      <c r="BN126" s="30" t="s">
        <v>245</v>
      </c>
      <c r="BO126" s="30" t="s">
        <v>245</v>
      </c>
      <c r="BP126" s="30" t="s">
        <v>245</v>
      </c>
      <c r="BQ126" s="30" t="s">
        <v>245</v>
      </c>
      <c r="BR126" s="30" t="s">
        <v>245</v>
      </c>
      <c r="BS126" s="30" t="s">
        <v>1269</v>
      </c>
      <c r="BT126" s="30" t="str">
        <f>HYPERLINK("https%3A%2F%2Fwww.webofscience.com%2Fwos%2Fwoscc%2Ffull-record%2FWOS:000301157700042","View Full Record in Web of Science")</f>
        <v>View Full Record in Web of Science</v>
      </c>
    </row>
    <row r="127" spans="1:72" x14ac:dyDescent="0.2">
      <c r="A127" s="30" t="s">
        <v>243</v>
      </c>
      <c r="B127" s="30" t="s">
        <v>1270</v>
      </c>
      <c r="C127" s="30" t="s">
        <v>245</v>
      </c>
      <c r="D127" s="30" t="s">
        <v>245</v>
      </c>
      <c r="E127" s="30" t="s">
        <v>245</v>
      </c>
      <c r="F127" s="30" t="s">
        <v>1270</v>
      </c>
      <c r="G127" s="30" t="s">
        <v>245</v>
      </c>
      <c r="H127" s="30" t="s">
        <v>245</v>
      </c>
      <c r="I127" s="30" t="s">
        <v>1271</v>
      </c>
      <c r="J127" s="30" t="s">
        <v>304</v>
      </c>
      <c r="K127" s="30" t="s">
        <v>245</v>
      </c>
      <c r="L127" s="30" t="s">
        <v>245</v>
      </c>
      <c r="M127" s="30" t="s">
        <v>245</v>
      </c>
      <c r="N127" s="30" t="s">
        <v>245</v>
      </c>
      <c r="O127" s="30" t="s">
        <v>1272</v>
      </c>
      <c r="P127" s="30" t="s">
        <v>1273</v>
      </c>
      <c r="Q127" s="30" t="s">
        <v>1274</v>
      </c>
      <c r="R127" s="30" t="s">
        <v>245</v>
      </c>
      <c r="S127" s="30" t="s">
        <v>245</v>
      </c>
      <c r="T127" s="30" t="s">
        <v>245</v>
      </c>
      <c r="U127" s="30" t="s">
        <v>245</v>
      </c>
      <c r="V127" s="30" t="s">
        <v>245</v>
      </c>
      <c r="W127" s="30" t="s">
        <v>245</v>
      </c>
      <c r="X127" s="30" t="s">
        <v>245</v>
      </c>
      <c r="Y127" s="30" t="s">
        <v>245</v>
      </c>
      <c r="Z127" s="30" t="s">
        <v>245</v>
      </c>
      <c r="AA127" s="30" t="s">
        <v>1275</v>
      </c>
      <c r="AB127" s="30" t="s">
        <v>245</v>
      </c>
      <c r="AC127" s="30" t="s">
        <v>245</v>
      </c>
      <c r="AD127" s="30" t="s">
        <v>245</v>
      </c>
      <c r="AE127" s="30" t="s">
        <v>245</v>
      </c>
      <c r="AF127" s="30" t="s">
        <v>245</v>
      </c>
      <c r="AG127" s="30" t="s">
        <v>245</v>
      </c>
      <c r="AH127" s="30" t="s">
        <v>245</v>
      </c>
      <c r="AI127" s="30" t="s">
        <v>245</v>
      </c>
      <c r="AJ127" s="30" t="s">
        <v>245</v>
      </c>
      <c r="AK127" s="30" t="s">
        <v>245</v>
      </c>
      <c r="AL127" s="30" t="s">
        <v>245</v>
      </c>
      <c r="AM127" s="30" t="s">
        <v>245</v>
      </c>
      <c r="AN127" s="30" t="s">
        <v>245</v>
      </c>
      <c r="AO127" s="30" t="s">
        <v>307</v>
      </c>
      <c r="AP127" s="30" t="s">
        <v>245</v>
      </c>
      <c r="AQ127" s="30" t="s">
        <v>245</v>
      </c>
      <c r="AR127" s="30" t="s">
        <v>245</v>
      </c>
      <c r="AS127" s="30" t="s">
        <v>245</v>
      </c>
      <c r="AT127" s="30" t="s">
        <v>481</v>
      </c>
      <c r="AU127" s="30">
        <v>2004</v>
      </c>
      <c r="AV127" s="30">
        <v>50</v>
      </c>
      <c r="AW127" s="30">
        <v>6</v>
      </c>
      <c r="AX127" s="30" t="s">
        <v>245</v>
      </c>
      <c r="AY127" s="30" t="s">
        <v>245</v>
      </c>
      <c r="AZ127" s="30" t="s">
        <v>245</v>
      </c>
      <c r="BA127" s="30" t="s">
        <v>245</v>
      </c>
      <c r="BB127" s="30">
        <v>831</v>
      </c>
      <c r="BC127" s="30">
        <v>837</v>
      </c>
      <c r="BD127" s="30" t="s">
        <v>245</v>
      </c>
      <c r="BE127" s="30" t="s">
        <v>1276</v>
      </c>
      <c r="BF127" s="30" t="str">
        <f>HYPERLINK("http://dx.doi.org/10.1080/00380768.2004.10408543","http://dx.doi.org/10.1080/00380768.2004.10408543")</f>
        <v>http://dx.doi.org/10.1080/00380768.2004.10408543</v>
      </c>
      <c r="BG127" s="30" t="s">
        <v>245</v>
      </c>
      <c r="BH127" s="30" t="s">
        <v>245</v>
      </c>
      <c r="BI127" s="30" t="s">
        <v>245</v>
      </c>
      <c r="BJ127" s="30" t="s">
        <v>245</v>
      </c>
      <c r="BK127" s="30" t="s">
        <v>245</v>
      </c>
      <c r="BL127" s="30" t="s">
        <v>245</v>
      </c>
      <c r="BM127" s="30" t="s">
        <v>245</v>
      </c>
      <c r="BN127" s="30" t="s">
        <v>245</v>
      </c>
      <c r="BO127" s="30" t="s">
        <v>245</v>
      </c>
      <c r="BP127" s="30" t="s">
        <v>245</v>
      </c>
      <c r="BQ127" s="30" t="s">
        <v>245</v>
      </c>
      <c r="BR127" s="30" t="s">
        <v>245</v>
      </c>
      <c r="BS127" s="30" t="s">
        <v>1277</v>
      </c>
      <c r="BT127" s="30" t="str">
        <f>HYPERLINK("https%3A%2F%2Fwww.webofscience.com%2Fwos%2Fwoscc%2Ffull-record%2FWOS:000225652700007","View Full Record in Web of Science")</f>
        <v>View Full Record in Web of Science</v>
      </c>
    </row>
    <row r="128" spans="1:72" x14ac:dyDescent="0.2">
      <c r="A128" s="30" t="s">
        <v>243</v>
      </c>
      <c r="B128" s="30" t="s">
        <v>1278</v>
      </c>
      <c r="C128" s="30" t="s">
        <v>245</v>
      </c>
      <c r="D128" s="30" t="s">
        <v>245</v>
      </c>
      <c r="E128" s="30" t="s">
        <v>245</v>
      </c>
      <c r="F128" s="30" t="s">
        <v>1279</v>
      </c>
      <c r="G128" s="30" t="s">
        <v>245</v>
      </c>
      <c r="H128" s="30" t="s">
        <v>245</v>
      </c>
      <c r="I128" s="30" t="s">
        <v>1280</v>
      </c>
      <c r="J128" s="30" t="s">
        <v>304</v>
      </c>
      <c r="K128" s="30" t="s">
        <v>245</v>
      </c>
      <c r="L128" s="30" t="s">
        <v>245</v>
      </c>
      <c r="M128" s="30" t="s">
        <v>245</v>
      </c>
      <c r="N128" s="30" t="s">
        <v>245</v>
      </c>
      <c r="O128" s="30" t="s">
        <v>245</v>
      </c>
      <c r="P128" s="30" t="s">
        <v>245</v>
      </c>
      <c r="Q128" s="30" t="s">
        <v>245</v>
      </c>
      <c r="R128" s="30" t="s">
        <v>245</v>
      </c>
      <c r="S128" s="30" t="s">
        <v>245</v>
      </c>
      <c r="T128" s="30" t="s">
        <v>245</v>
      </c>
      <c r="U128" s="30" t="s">
        <v>245</v>
      </c>
      <c r="V128" s="30" t="s">
        <v>245</v>
      </c>
      <c r="W128" s="30" t="s">
        <v>245</v>
      </c>
      <c r="X128" s="30" t="s">
        <v>245</v>
      </c>
      <c r="Y128" s="30" t="s">
        <v>245</v>
      </c>
      <c r="Z128" s="30" t="s">
        <v>245</v>
      </c>
      <c r="AA128" s="30" t="s">
        <v>1281</v>
      </c>
      <c r="AB128" s="30" t="s">
        <v>245</v>
      </c>
      <c r="AC128" s="30" t="s">
        <v>245</v>
      </c>
      <c r="AD128" s="30" t="s">
        <v>245</v>
      </c>
      <c r="AE128" s="30" t="s">
        <v>245</v>
      </c>
      <c r="AF128" s="30" t="s">
        <v>245</v>
      </c>
      <c r="AG128" s="30" t="s">
        <v>245</v>
      </c>
      <c r="AH128" s="30" t="s">
        <v>245</v>
      </c>
      <c r="AI128" s="30" t="s">
        <v>245</v>
      </c>
      <c r="AJ128" s="30" t="s">
        <v>245</v>
      </c>
      <c r="AK128" s="30" t="s">
        <v>245</v>
      </c>
      <c r="AL128" s="30" t="s">
        <v>245</v>
      </c>
      <c r="AM128" s="30" t="s">
        <v>245</v>
      </c>
      <c r="AN128" s="30" t="s">
        <v>245</v>
      </c>
      <c r="AO128" s="30" t="s">
        <v>307</v>
      </c>
      <c r="AP128" s="30" t="s">
        <v>308</v>
      </c>
      <c r="AQ128" s="30" t="s">
        <v>245</v>
      </c>
      <c r="AR128" s="30" t="s">
        <v>245</v>
      </c>
      <c r="AS128" s="30" t="s">
        <v>245</v>
      </c>
      <c r="AT128" s="30" t="s">
        <v>743</v>
      </c>
      <c r="AU128" s="30">
        <v>2020</v>
      </c>
      <c r="AV128" s="30">
        <v>66</v>
      </c>
      <c r="AW128" s="30">
        <v>1</v>
      </c>
      <c r="AX128" s="30" t="s">
        <v>245</v>
      </c>
      <c r="AY128" s="30" t="s">
        <v>245</v>
      </c>
      <c r="AZ128" s="30" t="s">
        <v>245</v>
      </c>
      <c r="BA128" s="30" t="s">
        <v>245</v>
      </c>
      <c r="BB128" s="30">
        <v>37</v>
      </c>
      <c r="BC128" s="30">
        <v>49</v>
      </c>
      <c r="BD128" s="30" t="s">
        <v>245</v>
      </c>
      <c r="BE128" s="30" t="s">
        <v>1282</v>
      </c>
      <c r="BF128" s="30" t="str">
        <f>HYPERLINK("http://dx.doi.org/10.1080/00380768.2019.1683890","http://dx.doi.org/10.1080/00380768.2019.1683890")</f>
        <v>http://dx.doi.org/10.1080/00380768.2019.1683890</v>
      </c>
      <c r="BG128" s="30" t="s">
        <v>245</v>
      </c>
      <c r="BH128" s="30" t="s">
        <v>1283</v>
      </c>
      <c r="BI128" s="30" t="s">
        <v>245</v>
      </c>
      <c r="BJ128" s="30" t="s">
        <v>245</v>
      </c>
      <c r="BK128" s="30" t="s">
        <v>245</v>
      </c>
      <c r="BL128" s="30" t="s">
        <v>245</v>
      </c>
      <c r="BM128" s="30" t="s">
        <v>245</v>
      </c>
      <c r="BN128" s="30" t="s">
        <v>245</v>
      </c>
      <c r="BO128" s="30" t="s">
        <v>245</v>
      </c>
      <c r="BP128" s="30" t="s">
        <v>245</v>
      </c>
      <c r="BQ128" s="30" t="s">
        <v>245</v>
      </c>
      <c r="BR128" s="30" t="s">
        <v>245</v>
      </c>
      <c r="BS128" s="30" t="s">
        <v>1284</v>
      </c>
      <c r="BT128" s="30" t="str">
        <f>HYPERLINK("https%3A%2F%2Fwww.webofscience.com%2Fwos%2Fwoscc%2Ffull-record%2FWOS:000493872700001","View Full Record in Web of Science")</f>
        <v>View Full Record in Web of Science</v>
      </c>
    </row>
    <row r="129" spans="1:72" x14ac:dyDescent="0.2">
      <c r="A129" s="30" t="s">
        <v>243</v>
      </c>
      <c r="B129" s="30" t="s">
        <v>1285</v>
      </c>
      <c r="C129" s="30" t="s">
        <v>245</v>
      </c>
      <c r="D129" s="30" t="s">
        <v>245</v>
      </c>
      <c r="E129" s="30" t="s">
        <v>245</v>
      </c>
      <c r="F129" s="30" t="s">
        <v>1286</v>
      </c>
      <c r="G129" s="30" t="s">
        <v>245</v>
      </c>
      <c r="H129" s="30" t="s">
        <v>245</v>
      </c>
      <c r="I129" s="30" t="s">
        <v>1287</v>
      </c>
      <c r="J129" s="30" t="s">
        <v>1288</v>
      </c>
      <c r="K129" s="30" t="s">
        <v>245</v>
      </c>
      <c r="L129" s="30" t="s">
        <v>245</v>
      </c>
      <c r="M129" s="30" t="s">
        <v>245</v>
      </c>
      <c r="N129" s="30" t="s">
        <v>245</v>
      </c>
      <c r="O129" s="30" t="s">
        <v>245</v>
      </c>
      <c r="P129" s="30" t="s">
        <v>245</v>
      </c>
      <c r="Q129" s="30" t="s">
        <v>245</v>
      </c>
      <c r="R129" s="30" t="s">
        <v>245</v>
      </c>
      <c r="S129" s="30" t="s">
        <v>245</v>
      </c>
      <c r="T129" s="30" t="s">
        <v>245</v>
      </c>
      <c r="U129" s="30" t="s">
        <v>245</v>
      </c>
      <c r="V129" s="30" t="s">
        <v>245</v>
      </c>
      <c r="W129" s="30" t="s">
        <v>245</v>
      </c>
      <c r="X129" s="30" t="s">
        <v>245</v>
      </c>
      <c r="Y129" s="30" t="s">
        <v>245</v>
      </c>
      <c r="Z129" s="30" t="s">
        <v>245</v>
      </c>
      <c r="AA129" s="30" t="s">
        <v>1289</v>
      </c>
      <c r="AB129" s="30" t="s">
        <v>1290</v>
      </c>
      <c r="AC129" s="30" t="s">
        <v>245</v>
      </c>
      <c r="AD129" s="30" t="s">
        <v>245</v>
      </c>
      <c r="AE129" s="30" t="s">
        <v>245</v>
      </c>
      <c r="AF129" s="30" t="s">
        <v>245</v>
      </c>
      <c r="AG129" s="30" t="s">
        <v>245</v>
      </c>
      <c r="AH129" s="30" t="s">
        <v>245</v>
      </c>
      <c r="AI129" s="30" t="s">
        <v>245</v>
      </c>
      <c r="AJ129" s="30" t="s">
        <v>245</v>
      </c>
      <c r="AK129" s="30" t="s">
        <v>245</v>
      </c>
      <c r="AL129" s="30" t="s">
        <v>245</v>
      </c>
      <c r="AM129" s="30" t="s">
        <v>245</v>
      </c>
      <c r="AN129" s="30" t="s">
        <v>245</v>
      </c>
      <c r="AO129" s="30" t="s">
        <v>1291</v>
      </c>
      <c r="AP129" s="30" t="s">
        <v>1292</v>
      </c>
      <c r="AQ129" s="30" t="s">
        <v>245</v>
      </c>
      <c r="AR129" s="30" t="s">
        <v>245</v>
      </c>
      <c r="AS129" s="30" t="s">
        <v>245</v>
      </c>
      <c r="AT129" s="30" t="s">
        <v>487</v>
      </c>
      <c r="AU129" s="30">
        <v>2019</v>
      </c>
      <c r="AV129" s="30">
        <v>122</v>
      </c>
      <c r="AW129" s="30" t="s">
        <v>245</v>
      </c>
      <c r="AX129" s="30" t="s">
        <v>245</v>
      </c>
      <c r="AY129" s="30" t="s">
        <v>245</v>
      </c>
      <c r="AZ129" s="30" t="s">
        <v>245</v>
      </c>
      <c r="BA129" s="30" t="s">
        <v>245</v>
      </c>
      <c r="BB129" s="30">
        <v>90</v>
      </c>
      <c r="BC129" s="30">
        <v>98</v>
      </c>
      <c r="BD129" s="30" t="s">
        <v>245</v>
      </c>
      <c r="BE129" s="30" t="s">
        <v>1293</v>
      </c>
      <c r="BF129" s="30" t="str">
        <f>HYPERLINK("http://dx.doi.org/10.1016/j.biombioe.2019.01.023","http://dx.doi.org/10.1016/j.biombioe.2019.01.023")</f>
        <v>http://dx.doi.org/10.1016/j.biombioe.2019.01.023</v>
      </c>
      <c r="BG129" s="30" t="s">
        <v>245</v>
      </c>
      <c r="BH129" s="30" t="s">
        <v>245</v>
      </c>
      <c r="BI129" s="30" t="s">
        <v>245</v>
      </c>
      <c r="BJ129" s="30" t="s">
        <v>245</v>
      </c>
      <c r="BK129" s="30" t="s">
        <v>245</v>
      </c>
      <c r="BL129" s="30" t="s">
        <v>245</v>
      </c>
      <c r="BM129" s="30" t="s">
        <v>245</v>
      </c>
      <c r="BN129" s="30" t="s">
        <v>245</v>
      </c>
      <c r="BO129" s="30" t="s">
        <v>245</v>
      </c>
      <c r="BP129" s="30" t="s">
        <v>245</v>
      </c>
      <c r="BQ129" s="30" t="s">
        <v>245</v>
      </c>
      <c r="BR129" s="30" t="s">
        <v>245</v>
      </c>
      <c r="BS129" s="30" t="s">
        <v>1294</v>
      </c>
      <c r="BT129" s="30" t="str">
        <f>HYPERLINK("https%3A%2F%2Fwww.webofscience.com%2Fwos%2Fwoscc%2Ffull-record%2FWOS:000459461800010","View Full Record in Web of Science")</f>
        <v>View Full Record in Web of Science</v>
      </c>
    </row>
    <row r="130" spans="1:72" x14ac:dyDescent="0.2">
      <c r="A130" s="30" t="s">
        <v>243</v>
      </c>
      <c r="B130" s="30" t="s">
        <v>1295</v>
      </c>
      <c r="C130" s="30" t="s">
        <v>245</v>
      </c>
      <c r="D130" s="30" t="s">
        <v>245</v>
      </c>
      <c r="E130" s="30" t="s">
        <v>245</v>
      </c>
      <c r="F130" s="30" t="s">
        <v>1296</v>
      </c>
      <c r="G130" s="30" t="s">
        <v>245</v>
      </c>
      <c r="H130" s="30" t="s">
        <v>245</v>
      </c>
      <c r="I130" s="30" t="s">
        <v>1297</v>
      </c>
      <c r="J130" s="30" t="s">
        <v>1298</v>
      </c>
      <c r="K130" s="30" t="s">
        <v>245</v>
      </c>
      <c r="L130" s="30" t="s">
        <v>245</v>
      </c>
      <c r="M130" s="30" t="s">
        <v>245</v>
      </c>
      <c r="N130" s="30" t="s">
        <v>245</v>
      </c>
      <c r="O130" s="30" t="s">
        <v>245</v>
      </c>
      <c r="P130" s="30" t="s">
        <v>245</v>
      </c>
      <c r="Q130" s="30" t="s">
        <v>245</v>
      </c>
      <c r="R130" s="30" t="s">
        <v>245</v>
      </c>
      <c r="S130" s="30" t="s">
        <v>245</v>
      </c>
      <c r="T130" s="30" t="s">
        <v>245</v>
      </c>
      <c r="U130" s="30" t="s">
        <v>245</v>
      </c>
      <c r="V130" s="30" t="s">
        <v>245</v>
      </c>
      <c r="W130" s="30" t="s">
        <v>245</v>
      </c>
      <c r="X130" s="30" t="s">
        <v>245</v>
      </c>
      <c r="Y130" s="30" t="s">
        <v>245</v>
      </c>
      <c r="Z130" s="30" t="s">
        <v>245</v>
      </c>
      <c r="AA130" s="30" t="s">
        <v>1299</v>
      </c>
      <c r="AB130" s="30" t="s">
        <v>836</v>
      </c>
      <c r="AC130" s="30" t="s">
        <v>245</v>
      </c>
      <c r="AD130" s="30" t="s">
        <v>245</v>
      </c>
      <c r="AE130" s="30" t="s">
        <v>245</v>
      </c>
      <c r="AF130" s="30" t="s">
        <v>245</v>
      </c>
      <c r="AG130" s="30" t="s">
        <v>245</v>
      </c>
      <c r="AH130" s="30" t="s">
        <v>245</v>
      </c>
      <c r="AI130" s="30" t="s">
        <v>245</v>
      </c>
      <c r="AJ130" s="30" t="s">
        <v>245</v>
      </c>
      <c r="AK130" s="30" t="s">
        <v>245</v>
      </c>
      <c r="AL130" s="30" t="s">
        <v>245</v>
      </c>
      <c r="AM130" s="30" t="s">
        <v>245</v>
      </c>
      <c r="AN130" s="30" t="s">
        <v>245</v>
      </c>
      <c r="AO130" s="30" t="s">
        <v>1300</v>
      </c>
      <c r="AP130" s="30" t="s">
        <v>1301</v>
      </c>
      <c r="AQ130" s="30" t="s">
        <v>245</v>
      </c>
      <c r="AR130" s="30" t="s">
        <v>245</v>
      </c>
      <c r="AS130" s="30" t="s">
        <v>245</v>
      </c>
      <c r="AT130" s="30" t="s">
        <v>245</v>
      </c>
      <c r="AU130" s="30">
        <v>2017</v>
      </c>
      <c r="AV130" s="30">
        <v>55</v>
      </c>
      <c r="AW130" s="30">
        <v>1</v>
      </c>
      <c r="AX130" s="30" t="s">
        <v>245</v>
      </c>
      <c r="AY130" s="30" t="s">
        <v>245</v>
      </c>
      <c r="AZ130" s="30" t="s">
        <v>245</v>
      </c>
      <c r="BA130" s="30" t="s">
        <v>245</v>
      </c>
      <c r="BB130" s="30">
        <v>47</v>
      </c>
      <c r="BC130" s="30">
        <v>57</v>
      </c>
      <c r="BD130" s="30" t="s">
        <v>245</v>
      </c>
      <c r="BE130" s="30" t="s">
        <v>1302</v>
      </c>
      <c r="BF130" s="30" t="str">
        <f>HYPERLINK("http://dx.doi.org/10.1071/SR16010","http://dx.doi.org/10.1071/SR16010")</f>
        <v>http://dx.doi.org/10.1071/SR16010</v>
      </c>
      <c r="BG130" s="30" t="s">
        <v>245</v>
      </c>
      <c r="BH130" s="30" t="s">
        <v>245</v>
      </c>
      <c r="BI130" s="30" t="s">
        <v>245</v>
      </c>
      <c r="BJ130" s="30" t="s">
        <v>245</v>
      </c>
      <c r="BK130" s="30" t="s">
        <v>245</v>
      </c>
      <c r="BL130" s="30" t="s">
        <v>245</v>
      </c>
      <c r="BM130" s="30" t="s">
        <v>245</v>
      </c>
      <c r="BN130" s="30" t="s">
        <v>245</v>
      </c>
      <c r="BO130" s="30" t="s">
        <v>245</v>
      </c>
      <c r="BP130" s="30" t="s">
        <v>245</v>
      </c>
      <c r="BQ130" s="30" t="s">
        <v>245</v>
      </c>
      <c r="BR130" s="30" t="s">
        <v>245</v>
      </c>
      <c r="BS130" s="30" t="s">
        <v>1303</v>
      </c>
      <c r="BT130" s="30" t="str">
        <f>HYPERLINK("https%3A%2F%2Fwww.webofscience.com%2Fwos%2Fwoscc%2Ffull-record%2FWOS:000392202900006","View Full Record in Web of Science")</f>
        <v>View Full Record in Web of Science</v>
      </c>
    </row>
    <row r="131" spans="1:72" x14ac:dyDescent="0.2">
      <c r="A131" s="30" t="s">
        <v>243</v>
      </c>
      <c r="B131" s="30" t="s">
        <v>1304</v>
      </c>
      <c r="C131" s="30" t="s">
        <v>245</v>
      </c>
      <c r="D131" s="30" t="s">
        <v>245</v>
      </c>
      <c r="E131" s="30" t="s">
        <v>245</v>
      </c>
      <c r="F131" s="30" t="s">
        <v>1305</v>
      </c>
      <c r="G131" s="30" t="s">
        <v>245</v>
      </c>
      <c r="H131" s="30" t="s">
        <v>245</v>
      </c>
      <c r="I131" s="30" t="s">
        <v>1306</v>
      </c>
      <c r="J131" s="30" t="s">
        <v>1307</v>
      </c>
      <c r="K131" s="30" t="s">
        <v>245</v>
      </c>
      <c r="L131" s="30" t="s">
        <v>245</v>
      </c>
      <c r="M131" s="30" t="s">
        <v>245</v>
      </c>
      <c r="N131" s="30" t="s">
        <v>245</v>
      </c>
      <c r="O131" s="30" t="s">
        <v>245</v>
      </c>
      <c r="P131" s="30" t="s">
        <v>245</v>
      </c>
      <c r="Q131" s="30" t="s">
        <v>245</v>
      </c>
      <c r="R131" s="30" t="s">
        <v>245</v>
      </c>
      <c r="S131" s="30" t="s">
        <v>245</v>
      </c>
      <c r="T131" s="30" t="s">
        <v>245</v>
      </c>
      <c r="U131" s="30" t="s">
        <v>245</v>
      </c>
      <c r="V131" s="30" t="s">
        <v>245</v>
      </c>
      <c r="W131" s="30" t="s">
        <v>245</v>
      </c>
      <c r="X131" s="30" t="s">
        <v>245</v>
      </c>
      <c r="Y131" s="30" t="s">
        <v>245</v>
      </c>
      <c r="Z131" s="30" t="s">
        <v>245</v>
      </c>
      <c r="AA131" s="30" t="s">
        <v>1308</v>
      </c>
      <c r="AB131" s="30" t="s">
        <v>1309</v>
      </c>
      <c r="AC131" s="30" t="s">
        <v>245</v>
      </c>
      <c r="AD131" s="30" t="s">
        <v>245</v>
      </c>
      <c r="AE131" s="30" t="s">
        <v>245</v>
      </c>
      <c r="AF131" s="30" t="s">
        <v>245</v>
      </c>
      <c r="AG131" s="30" t="s">
        <v>245</v>
      </c>
      <c r="AH131" s="30" t="s">
        <v>245</v>
      </c>
      <c r="AI131" s="30" t="s">
        <v>245</v>
      </c>
      <c r="AJ131" s="30" t="s">
        <v>245</v>
      </c>
      <c r="AK131" s="30" t="s">
        <v>245</v>
      </c>
      <c r="AL131" s="30" t="s">
        <v>245</v>
      </c>
      <c r="AM131" s="30" t="s">
        <v>245</v>
      </c>
      <c r="AN131" s="30" t="s">
        <v>245</v>
      </c>
      <c r="AO131" s="30" t="s">
        <v>1310</v>
      </c>
      <c r="AP131" s="30" t="s">
        <v>1311</v>
      </c>
      <c r="AQ131" s="30" t="s">
        <v>245</v>
      </c>
      <c r="AR131" s="30" t="s">
        <v>245</v>
      </c>
      <c r="AS131" s="30" t="s">
        <v>245</v>
      </c>
      <c r="AT131" s="30" t="s">
        <v>1312</v>
      </c>
      <c r="AU131" s="30">
        <v>2023</v>
      </c>
      <c r="AV131" s="30">
        <v>69</v>
      </c>
      <c r="AW131" s="30">
        <v>4</v>
      </c>
      <c r="AX131" s="30" t="s">
        <v>245</v>
      </c>
      <c r="AY131" s="30" t="s">
        <v>245</v>
      </c>
      <c r="AZ131" s="30" t="s">
        <v>245</v>
      </c>
      <c r="BA131" s="30" t="s">
        <v>245</v>
      </c>
      <c r="BB131" s="30">
        <v>648</v>
      </c>
      <c r="BC131" s="30">
        <v>661</v>
      </c>
      <c r="BD131" s="30" t="s">
        <v>245</v>
      </c>
      <c r="BE131" s="30" t="s">
        <v>1313</v>
      </c>
      <c r="BF131" s="30" t="str">
        <f>HYPERLINK("http://dx.doi.org/10.1080/03650340.2021.2022650","http://dx.doi.org/10.1080/03650340.2021.2022650")</f>
        <v>http://dx.doi.org/10.1080/03650340.2021.2022650</v>
      </c>
      <c r="BG131" s="30" t="s">
        <v>245</v>
      </c>
      <c r="BH131" s="30" t="s">
        <v>1314</v>
      </c>
      <c r="BI131" s="30" t="s">
        <v>245</v>
      </c>
      <c r="BJ131" s="30" t="s">
        <v>245</v>
      </c>
      <c r="BK131" s="30" t="s">
        <v>245</v>
      </c>
      <c r="BL131" s="30" t="s">
        <v>245</v>
      </c>
      <c r="BM131" s="30" t="s">
        <v>245</v>
      </c>
      <c r="BN131" s="30" t="s">
        <v>245</v>
      </c>
      <c r="BO131" s="30" t="s">
        <v>245</v>
      </c>
      <c r="BP131" s="30" t="s">
        <v>245</v>
      </c>
      <c r="BQ131" s="30" t="s">
        <v>245</v>
      </c>
      <c r="BR131" s="30" t="s">
        <v>245</v>
      </c>
      <c r="BS131" s="30" t="s">
        <v>1315</v>
      </c>
      <c r="BT131" s="30" t="str">
        <f>HYPERLINK("https%3A%2F%2Fwww.webofscience.com%2Fwos%2Fwoscc%2Ffull-record%2FWOS:000740086200001","View Full Record in Web of Science")</f>
        <v>View Full Record in Web of Science</v>
      </c>
    </row>
    <row r="132" spans="1:72" x14ac:dyDescent="0.2">
      <c r="A132" s="30" t="s">
        <v>243</v>
      </c>
      <c r="B132" s="30" t="s">
        <v>1316</v>
      </c>
      <c r="C132" s="30" t="s">
        <v>245</v>
      </c>
      <c r="D132" s="30" t="s">
        <v>245</v>
      </c>
      <c r="E132" s="30" t="s">
        <v>245</v>
      </c>
      <c r="F132" s="30" t="s">
        <v>1317</v>
      </c>
      <c r="G132" s="30" t="s">
        <v>245</v>
      </c>
      <c r="H132" s="30" t="s">
        <v>245</v>
      </c>
      <c r="I132" s="30" t="s">
        <v>1318</v>
      </c>
      <c r="J132" s="30" t="s">
        <v>501</v>
      </c>
      <c r="K132" s="30" t="s">
        <v>245</v>
      </c>
      <c r="L132" s="30" t="s">
        <v>245</v>
      </c>
      <c r="M132" s="30" t="s">
        <v>245</v>
      </c>
      <c r="N132" s="30" t="s">
        <v>245</v>
      </c>
      <c r="O132" s="30" t="s">
        <v>245</v>
      </c>
      <c r="P132" s="30" t="s">
        <v>245</v>
      </c>
      <c r="Q132" s="30" t="s">
        <v>245</v>
      </c>
      <c r="R132" s="30" t="s">
        <v>245</v>
      </c>
      <c r="S132" s="30" t="s">
        <v>245</v>
      </c>
      <c r="T132" s="30" t="s">
        <v>245</v>
      </c>
      <c r="U132" s="30" t="s">
        <v>245</v>
      </c>
      <c r="V132" s="30" t="s">
        <v>245</v>
      </c>
      <c r="W132" s="30" t="s">
        <v>245</v>
      </c>
      <c r="X132" s="30" t="s">
        <v>245</v>
      </c>
      <c r="Y132" s="30" t="s">
        <v>245</v>
      </c>
      <c r="Z132" s="30" t="s">
        <v>245</v>
      </c>
      <c r="AA132" s="30" t="s">
        <v>1319</v>
      </c>
      <c r="AB132" s="30" t="s">
        <v>1320</v>
      </c>
      <c r="AC132" s="30" t="s">
        <v>245</v>
      </c>
      <c r="AD132" s="30" t="s">
        <v>245</v>
      </c>
      <c r="AE132" s="30" t="s">
        <v>245</v>
      </c>
      <c r="AF132" s="30" t="s">
        <v>245</v>
      </c>
      <c r="AG132" s="30" t="s">
        <v>245</v>
      </c>
      <c r="AH132" s="30" t="s">
        <v>245</v>
      </c>
      <c r="AI132" s="30" t="s">
        <v>245</v>
      </c>
      <c r="AJ132" s="30" t="s">
        <v>245</v>
      </c>
      <c r="AK132" s="30" t="s">
        <v>245</v>
      </c>
      <c r="AL132" s="30" t="s">
        <v>245</v>
      </c>
      <c r="AM132" s="30" t="s">
        <v>245</v>
      </c>
      <c r="AN132" s="30" t="s">
        <v>245</v>
      </c>
      <c r="AO132" s="30" t="s">
        <v>504</v>
      </c>
      <c r="AP132" s="30" t="s">
        <v>505</v>
      </c>
      <c r="AQ132" s="30" t="s">
        <v>245</v>
      </c>
      <c r="AR132" s="30" t="s">
        <v>245</v>
      </c>
      <c r="AS132" s="30" t="s">
        <v>245</v>
      </c>
      <c r="AT132" s="30" t="s">
        <v>535</v>
      </c>
      <c r="AU132" s="30">
        <v>2018</v>
      </c>
      <c r="AV132" s="30">
        <v>129</v>
      </c>
      <c r="AW132" s="30" t="s">
        <v>245</v>
      </c>
      <c r="AX132" s="30" t="s">
        <v>245</v>
      </c>
      <c r="AY132" s="30" t="s">
        <v>245</v>
      </c>
      <c r="AZ132" s="30" t="s">
        <v>245</v>
      </c>
      <c r="BA132" s="30" t="s">
        <v>245</v>
      </c>
      <c r="BB132" s="30">
        <v>121</v>
      </c>
      <c r="BC132" s="30">
        <v>127</v>
      </c>
      <c r="BD132" s="30" t="s">
        <v>245</v>
      </c>
      <c r="BE132" s="30" t="s">
        <v>1321</v>
      </c>
      <c r="BF132" s="30" t="str">
        <f>HYPERLINK("http://dx.doi.org/10.1016/j.apsoil.2018.05.009","http://dx.doi.org/10.1016/j.apsoil.2018.05.009")</f>
        <v>http://dx.doi.org/10.1016/j.apsoil.2018.05.009</v>
      </c>
      <c r="BG132" s="30" t="s">
        <v>245</v>
      </c>
      <c r="BH132" s="30" t="s">
        <v>245</v>
      </c>
      <c r="BI132" s="30" t="s">
        <v>245</v>
      </c>
      <c r="BJ132" s="30" t="s">
        <v>245</v>
      </c>
      <c r="BK132" s="30" t="s">
        <v>245</v>
      </c>
      <c r="BL132" s="30" t="s">
        <v>245</v>
      </c>
      <c r="BM132" s="30" t="s">
        <v>245</v>
      </c>
      <c r="BN132" s="30" t="s">
        <v>245</v>
      </c>
      <c r="BO132" s="30" t="s">
        <v>245</v>
      </c>
      <c r="BP132" s="30" t="s">
        <v>245</v>
      </c>
      <c r="BQ132" s="30" t="s">
        <v>245</v>
      </c>
      <c r="BR132" s="30" t="s">
        <v>245</v>
      </c>
      <c r="BS132" s="30" t="s">
        <v>1322</v>
      </c>
      <c r="BT132" s="30" t="str">
        <f>HYPERLINK("https%3A%2F%2Fwww.webofscience.com%2Fwos%2Fwoscc%2Ffull-record%2FWOS:000436438700015","View Full Record in Web of Science")</f>
        <v>View Full Record in Web of Science</v>
      </c>
    </row>
    <row r="133" spans="1:72" x14ac:dyDescent="0.2">
      <c r="A133" s="30" t="s">
        <v>243</v>
      </c>
      <c r="B133" s="30" t="s">
        <v>1323</v>
      </c>
      <c r="C133" s="30" t="s">
        <v>245</v>
      </c>
      <c r="D133" s="30" t="s">
        <v>245</v>
      </c>
      <c r="E133" s="30" t="s">
        <v>245</v>
      </c>
      <c r="F133" s="30" t="s">
        <v>1324</v>
      </c>
      <c r="G133" s="30" t="s">
        <v>245</v>
      </c>
      <c r="H133" s="30" t="s">
        <v>245</v>
      </c>
      <c r="I133" s="30" t="s">
        <v>1325</v>
      </c>
      <c r="J133" s="30" t="s">
        <v>402</v>
      </c>
      <c r="K133" s="30" t="s">
        <v>245</v>
      </c>
      <c r="L133" s="30" t="s">
        <v>245</v>
      </c>
      <c r="M133" s="30" t="s">
        <v>245</v>
      </c>
      <c r="N133" s="30" t="s">
        <v>245</v>
      </c>
      <c r="O133" s="30" t="s">
        <v>245</v>
      </c>
      <c r="P133" s="30" t="s">
        <v>245</v>
      </c>
      <c r="Q133" s="30" t="s">
        <v>245</v>
      </c>
      <c r="R133" s="30" t="s">
        <v>245</v>
      </c>
      <c r="S133" s="30" t="s">
        <v>245</v>
      </c>
      <c r="T133" s="30" t="s">
        <v>245</v>
      </c>
      <c r="U133" s="30" t="s">
        <v>245</v>
      </c>
      <c r="V133" s="30" t="s">
        <v>245</v>
      </c>
      <c r="W133" s="30" t="s">
        <v>245</v>
      </c>
      <c r="X133" s="30" t="s">
        <v>245</v>
      </c>
      <c r="Y133" s="30" t="s">
        <v>245</v>
      </c>
      <c r="Z133" s="30" t="s">
        <v>245</v>
      </c>
      <c r="AA133" s="30" t="s">
        <v>1326</v>
      </c>
      <c r="AB133" s="30" t="s">
        <v>245</v>
      </c>
      <c r="AC133" s="30" t="s">
        <v>245</v>
      </c>
      <c r="AD133" s="30" t="s">
        <v>245</v>
      </c>
      <c r="AE133" s="30" t="s">
        <v>245</v>
      </c>
      <c r="AF133" s="30" t="s">
        <v>245</v>
      </c>
      <c r="AG133" s="30" t="s">
        <v>245</v>
      </c>
      <c r="AH133" s="30" t="s">
        <v>245</v>
      </c>
      <c r="AI133" s="30" t="s">
        <v>245</v>
      </c>
      <c r="AJ133" s="30" t="s">
        <v>245</v>
      </c>
      <c r="AK133" s="30" t="s">
        <v>245</v>
      </c>
      <c r="AL133" s="30" t="s">
        <v>245</v>
      </c>
      <c r="AM133" s="30" t="s">
        <v>245</v>
      </c>
      <c r="AN133" s="30" t="s">
        <v>245</v>
      </c>
      <c r="AO133" s="30" t="s">
        <v>405</v>
      </c>
      <c r="AP133" s="30" t="s">
        <v>406</v>
      </c>
      <c r="AQ133" s="30" t="s">
        <v>245</v>
      </c>
      <c r="AR133" s="30" t="s">
        <v>245</v>
      </c>
      <c r="AS133" s="30" t="s">
        <v>245</v>
      </c>
      <c r="AT133" s="30" t="s">
        <v>550</v>
      </c>
      <c r="AU133" s="30">
        <v>2021</v>
      </c>
      <c r="AV133" s="30">
        <v>21</v>
      </c>
      <c r="AW133" s="30">
        <v>11</v>
      </c>
      <c r="AX133" s="30" t="s">
        <v>245</v>
      </c>
      <c r="AY133" s="30" t="s">
        <v>245</v>
      </c>
      <c r="AZ133" s="30" t="s">
        <v>245</v>
      </c>
      <c r="BA133" s="30" t="s">
        <v>245</v>
      </c>
      <c r="BB133" s="30">
        <v>3543</v>
      </c>
      <c r="BC133" s="30">
        <v>3555</v>
      </c>
      <c r="BD133" s="30" t="s">
        <v>245</v>
      </c>
      <c r="BE133" s="30" t="s">
        <v>1327</v>
      </c>
      <c r="BF133" s="30" t="str">
        <f>HYPERLINK("http://dx.doi.org/10.1007/s11368-021-03014-w","http://dx.doi.org/10.1007/s11368-021-03014-w")</f>
        <v>http://dx.doi.org/10.1007/s11368-021-03014-w</v>
      </c>
      <c r="BG133" s="30" t="s">
        <v>245</v>
      </c>
      <c r="BH133" s="30" t="s">
        <v>1328</v>
      </c>
      <c r="BI133" s="30" t="s">
        <v>245</v>
      </c>
      <c r="BJ133" s="30" t="s">
        <v>245</v>
      </c>
      <c r="BK133" s="30" t="s">
        <v>245</v>
      </c>
      <c r="BL133" s="30" t="s">
        <v>245</v>
      </c>
      <c r="BM133" s="30" t="s">
        <v>245</v>
      </c>
      <c r="BN133" s="30" t="s">
        <v>245</v>
      </c>
      <c r="BO133" s="30" t="s">
        <v>245</v>
      </c>
      <c r="BP133" s="30" t="s">
        <v>245</v>
      </c>
      <c r="BQ133" s="30" t="s">
        <v>245</v>
      </c>
      <c r="BR133" s="30" t="s">
        <v>245</v>
      </c>
      <c r="BS133" s="30" t="s">
        <v>1329</v>
      </c>
      <c r="BT133" s="30" t="str">
        <f>HYPERLINK("https%3A%2F%2Fwww.webofscience.com%2Fwos%2Fwoscc%2Ffull-record%2FWOS:000676088800001","View Full Record in Web of Science")</f>
        <v>View Full Record in Web of Science</v>
      </c>
    </row>
    <row r="134" spans="1:72" x14ac:dyDescent="0.2">
      <c r="A134" s="30" t="s">
        <v>243</v>
      </c>
      <c r="B134" s="30" t="s">
        <v>1330</v>
      </c>
      <c r="C134" s="30" t="s">
        <v>245</v>
      </c>
      <c r="D134" s="30" t="s">
        <v>245</v>
      </c>
      <c r="E134" s="30" t="s">
        <v>245</v>
      </c>
      <c r="F134" s="30" t="s">
        <v>1331</v>
      </c>
      <c r="G134" s="30" t="s">
        <v>245</v>
      </c>
      <c r="H134" s="30" t="s">
        <v>245</v>
      </c>
      <c r="I134" s="30" t="s">
        <v>1332</v>
      </c>
      <c r="J134" s="30" t="s">
        <v>1333</v>
      </c>
      <c r="K134" s="30" t="s">
        <v>245</v>
      </c>
      <c r="L134" s="30" t="s">
        <v>245</v>
      </c>
      <c r="M134" s="30" t="s">
        <v>245</v>
      </c>
      <c r="N134" s="30" t="s">
        <v>245</v>
      </c>
      <c r="O134" s="30" t="s">
        <v>245</v>
      </c>
      <c r="P134" s="30" t="s">
        <v>245</v>
      </c>
      <c r="Q134" s="30" t="s">
        <v>245</v>
      </c>
      <c r="R134" s="30" t="s">
        <v>245</v>
      </c>
      <c r="S134" s="30" t="s">
        <v>245</v>
      </c>
      <c r="T134" s="30" t="s">
        <v>245</v>
      </c>
      <c r="U134" s="30" t="s">
        <v>245</v>
      </c>
      <c r="V134" s="30" t="s">
        <v>245</v>
      </c>
      <c r="W134" s="30" t="s">
        <v>245</v>
      </c>
      <c r="X134" s="30" t="s">
        <v>245</v>
      </c>
      <c r="Y134" s="30" t="s">
        <v>245</v>
      </c>
      <c r="Z134" s="30" t="s">
        <v>245</v>
      </c>
      <c r="AA134" s="30" t="s">
        <v>1334</v>
      </c>
      <c r="AB134" s="30" t="s">
        <v>1335</v>
      </c>
      <c r="AC134" s="30" t="s">
        <v>245</v>
      </c>
      <c r="AD134" s="30" t="s">
        <v>245</v>
      </c>
      <c r="AE134" s="30" t="s">
        <v>245</v>
      </c>
      <c r="AF134" s="30" t="s">
        <v>245</v>
      </c>
      <c r="AG134" s="30" t="s">
        <v>245</v>
      </c>
      <c r="AH134" s="30" t="s">
        <v>245</v>
      </c>
      <c r="AI134" s="30" t="s">
        <v>245</v>
      </c>
      <c r="AJ134" s="30" t="s">
        <v>245</v>
      </c>
      <c r="AK134" s="30" t="s">
        <v>245</v>
      </c>
      <c r="AL134" s="30" t="s">
        <v>245</v>
      </c>
      <c r="AM134" s="30" t="s">
        <v>245</v>
      </c>
      <c r="AN134" s="30" t="s">
        <v>245</v>
      </c>
      <c r="AO134" s="30" t="s">
        <v>1336</v>
      </c>
      <c r="AP134" s="30" t="s">
        <v>245</v>
      </c>
      <c r="AQ134" s="30" t="s">
        <v>245</v>
      </c>
      <c r="AR134" s="30" t="s">
        <v>245</v>
      </c>
      <c r="AS134" s="30" t="s">
        <v>245</v>
      </c>
      <c r="AT134" s="30" t="s">
        <v>365</v>
      </c>
      <c r="AU134" s="30">
        <v>2025</v>
      </c>
      <c r="AV134" s="30">
        <v>37</v>
      </c>
      <c r="AW134" s="30" t="s">
        <v>245</v>
      </c>
      <c r="AX134" s="30" t="s">
        <v>245</v>
      </c>
      <c r="AY134" s="30" t="s">
        <v>245</v>
      </c>
      <c r="AZ134" s="30" t="s">
        <v>245</v>
      </c>
      <c r="BA134" s="30" t="s">
        <v>245</v>
      </c>
      <c r="BB134" s="30" t="s">
        <v>245</v>
      </c>
      <c r="BC134" s="30" t="s">
        <v>245</v>
      </c>
      <c r="BD134" s="30">
        <v>103952</v>
      </c>
      <c r="BE134" s="30" t="s">
        <v>1337</v>
      </c>
      <c r="BF134" s="30" t="str">
        <f>HYPERLINK("http://dx.doi.org/10.1016/j.eti.2024.103952","http://dx.doi.org/10.1016/j.eti.2024.103952")</f>
        <v>http://dx.doi.org/10.1016/j.eti.2024.103952</v>
      </c>
      <c r="BG134" s="30" t="s">
        <v>245</v>
      </c>
      <c r="BH134" s="30" t="s">
        <v>1338</v>
      </c>
      <c r="BI134" s="30" t="s">
        <v>245</v>
      </c>
      <c r="BJ134" s="30" t="s">
        <v>245</v>
      </c>
      <c r="BK134" s="30" t="s">
        <v>245</v>
      </c>
      <c r="BL134" s="30" t="s">
        <v>245</v>
      </c>
      <c r="BM134" s="30" t="s">
        <v>245</v>
      </c>
      <c r="BN134" s="30" t="s">
        <v>245</v>
      </c>
      <c r="BO134" s="30" t="s">
        <v>245</v>
      </c>
      <c r="BP134" s="30" t="s">
        <v>245</v>
      </c>
      <c r="BQ134" s="30" t="s">
        <v>245</v>
      </c>
      <c r="BR134" s="30" t="s">
        <v>245</v>
      </c>
      <c r="BS134" s="30" t="s">
        <v>1339</v>
      </c>
      <c r="BT134" s="30" t="str">
        <f>HYPERLINK("https%3A%2F%2Fwww.webofscience.com%2Fwos%2Fwoscc%2Ffull-record%2FWOS:001413809000001","View Full Record in Web of Science")</f>
        <v>View Full Record in Web of Science</v>
      </c>
    </row>
    <row r="135" spans="1:72" x14ac:dyDescent="0.2">
      <c r="A135" s="30" t="s">
        <v>243</v>
      </c>
      <c r="B135" s="30" t="s">
        <v>1340</v>
      </c>
      <c r="C135" s="30" t="s">
        <v>245</v>
      </c>
      <c r="D135" s="30" t="s">
        <v>245</v>
      </c>
      <c r="E135" s="30" t="s">
        <v>245</v>
      </c>
      <c r="F135" s="30" t="s">
        <v>1341</v>
      </c>
      <c r="G135" s="30" t="s">
        <v>245</v>
      </c>
      <c r="H135" s="30" t="s">
        <v>245</v>
      </c>
      <c r="I135" s="30" t="s">
        <v>1342</v>
      </c>
      <c r="J135" s="30" t="s">
        <v>1343</v>
      </c>
      <c r="K135" s="30" t="s">
        <v>245</v>
      </c>
      <c r="L135" s="30" t="s">
        <v>245</v>
      </c>
      <c r="M135" s="30" t="s">
        <v>245</v>
      </c>
      <c r="N135" s="30" t="s">
        <v>245</v>
      </c>
      <c r="O135" s="30" t="s">
        <v>245</v>
      </c>
      <c r="P135" s="30" t="s">
        <v>245</v>
      </c>
      <c r="Q135" s="30" t="s">
        <v>245</v>
      </c>
      <c r="R135" s="30" t="s">
        <v>245</v>
      </c>
      <c r="S135" s="30" t="s">
        <v>245</v>
      </c>
      <c r="T135" s="30" t="s">
        <v>245</v>
      </c>
      <c r="U135" s="30" t="s">
        <v>245</v>
      </c>
      <c r="V135" s="30" t="s">
        <v>245</v>
      </c>
      <c r="W135" s="30" t="s">
        <v>245</v>
      </c>
      <c r="X135" s="30" t="s">
        <v>245</v>
      </c>
      <c r="Y135" s="30" t="s">
        <v>245</v>
      </c>
      <c r="Z135" s="30" t="s">
        <v>245</v>
      </c>
      <c r="AA135" s="30" t="s">
        <v>1344</v>
      </c>
      <c r="AB135" s="30" t="s">
        <v>1345</v>
      </c>
      <c r="AC135" s="30" t="s">
        <v>245</v>
      </c>
      <c r="AD135" s="30" t="s">
        <v>245</v>
      </c>
      <c r="AE135" s="30" t="s">
        <v>245</v>
      </c>
      <c r="AF135" s="30" t="s">
        <v>245</v>
      </c>
      <c r="AG135" s="30" t="s">
        <v>245</v>
      </c>
      <c r="AH135" s="30" t="s">
        <v>245</v>
      </c>
      <c r="AI135" s="30" t="s">
        <v>245</v>
      </c>
      <c r="AJ135" s="30" t="s">
        <v>245</v>
      </c>
      <c r="AK135" s="30" t="s">
        <v>245</v>
      </c>
      <c r="AL135" s="30" t="s">
        <v>245</v>
      </c>
      <c r="AM135" s="30" t="s">
        <v>245</v>
      </c>
      <c r="AN135" s="30" t="s">
        <v>245</v>
      </c>
      <c r="AO135" s="30" t="s">
        <v>245</v>
      </c>
      <c r="AP135" s="30" t="s">
        <v>1346</v>
      </c>
      <c r="AQ135" s="30" t="s">
        <v>245</v>
      </c>
      <c r="AR135" s="30" t="s">
        <v>245</v>
      </c>
      <c r="AS135" s="30" t="s">
        <v>245</v>
      </c>
      <c r="AT135" s="30" t="s">
        <v>265</v>
      </c>
      <c r="AU135" s="30">
        <v>2024</v>
      </c>
      <c r="AV135" s="30">
        <v>14</v>
      </c>
      <c r="AW135" s="30">
        <v>12</v>
      </c>
      <c r="AX135" s="30" t="s">
        <v>245</v>
      </c>
      <c r="AY135" s="30" t="s">
        <v>245</v>
      </c>
      <c r="AZ135" s="30" t="s">
        <v>245</v>
      </c>
      <c r="BA135" s="30" t="s">
        <v>245</v>
      </c>
      <c r="BB135" s="30" t="s">
        <v>245</v>
      </c>
      <c r="BC135" s="30" t="s">
        <v>245</v>
      </c>
      <c r="BD135" s="30">
        <v>4998</v>
      </c>
      <c r="BE135" s="30" t="s">
        <v>1347</v>
      </c>
      <c r="BF135" s="30" t="str">
        <f>HYPERLINK("http://dx.doi.org/10.3390/app14124998","http://dx.doi.org/10.3390/app14124998")</f>
        <v>http://dx.doi.org/10.3390/app14124998</v>
      </c>
      <c r="BG135" s="30" t="s">
        <v>245</v>
      </c>
      <c r="BH135" s="30" t="s">
        <v>245</v>
      </c>
      <c r="BI135" s="30" t="s">
        <v>245</v>
      </c>
      <c r="BJ135" s="30" t="s">
        <v>245</v>
      </c>
      <c r="BK135" s="30" t="s">
        <v>245</v>
      </c>
      <c r="BL135" s="30" t="s">
        <v>245</v>
      </c>
      <c r="BM135" s="30" t="s">
        <v>245</v>
      </c>
      <c r="BN135" s="30" t="s">
        <v>245</v>
      </c>
      <c r="BO135" s="30" t="s">
        <v>245</v>
      </c>
      <c r="BP135" s="30" t="s">
        <v>245</v>
      </c>
      <c r="BQ135" s="30" t="s">
        <v>245</v>
      </c>
      <c r="BR135" s="30" t="s">
        <v>245</v>
      </c>
      <c r="BS135" s="30" t="s">
        <v>1348</v>
      </c>
      <c r="BT135" s="30" t="str">
        <f>HYPERLINK("https%3A%2F%2Fwww.webofscience.com%2Fwos%2Fwoscc%2Ffull-record%2FWOS:001255041800001","View Full Record in Web of Science")</f>
        <v>View Full Record in Web of Science</v>
      </c>
    </row>
    <row r="136" spans="1:72" x14ac:dyDescent="0.2">
      <c r="A136" s="30" t="s">
        <v>243</v>
      </c>
      <c r="B136" s="30" t="s">
        <v>1349</v>
      </c>
      <c r="C136" s="30" t="s">
        <v>245</v>
      </c>
      <c r="D136" s="30" t="s">
        <v>245</v>
      </c>
      <c r="E136" s="30" t="s">
        <v>245</v>
      </c>
      <c r="F136" s="30" t="s">
        <v>1350</v>
      </c>
      <c r="G136" s="30" t="s">
        <v>245</v>
      </c>
      <c r="H136" s="30" t="s">
        <v>245</v>
      </c>
      <c r="I136" s="30" t="s">
        <v>1351</v>
      </c>
      <c r="J136" s="30" t="s">
        <v>1352</v>
      </c>
      <c r="K136" s="30" t="s">
        <v>245</v>
      </c>
      <c r="L136" s="30" t="s">
        <v>245</v>
      </c>
      <c r="M136" s="30" t="s">
        <v>245</v>
      </c>
      <c r="N136" s="30" t="s">
        <v>245</v>
      </c>
      <c r="O136" s="30" t="s">
        <v>245</v>
      </c>
      <c r="P136" s="30" t="s">
        <v>245</v>
      </c>
      <c r="Q136" s="30" t="s">
        <v>245</v>
      </c>
      <c r="R136" s="30" t="s">
        <v>245</v>
      </c>
      <c r="S136" s="30" t="s">
        <v>245</v>
      </c>
      <c r="T136" s="30" t="s">
        <v>245</v>
      </c>
      <c r="U136" s="30" t="s">
        <v>245</v>
      </c>
      <c r="V136" s="30" t="s">
        <v>245</v>
      </c>
      <c r="W136" s="30" t="s">
        <v>245</v>
      </c>
      <c r="X136" s="30" t="s">
        <v>245</v>
      </c>
      <c r="Y136" s="30" t="s">
        <v>245</v>
      </c>
      <c r="Z136" s="30" t="s">
        <v>245</v>
      </c>
      <c r="AA136" s="30" t="s">
        <v>1353</v>
      </c>
      <c r="AB136" s="30" t="s">
        <v>1354</v>
      </c>
      <c r="AC136" s="30" t="s">
        <v>245</v>
      </c>
      <c r="AD136" s="30" t="s">
        <v>245</v>
      </c>
      <c r="AE136" s="30" t="s">
        <v>245</v>
      </c>
      <c r="AF136" s="30" t="s">
        <v>245</v>
      </c>
      <c r="AG136" s="30" t="s">
        <v>245</v>
      </c>
      <c r="AH136" s="30" t="s">
        <v>245</v>
      </c>
      <c r="AI136" s="30" t="s">
        <v>245</v>
      </c>
      <c r="AJ136" s="30" t="s">
        <v>245</v>
      </c>
      <c r="AK136" s="30" t="s">
        <v>245</v>
      </c>
      <c r="AL136" s="30" t="s">
        <v>245</v>
      </c>
      <c r="AM136" s="30" t="s">
        <v>245</v>
      </c>
      <c r="AN136" s="30" t="s">
        <v>245</v>
      </c>
      <c r="AO136" s="30" t="s">
        <v>1355</v>
      </c>
      <c r="AP136" s="30" t="s">
        <v>1356</v>
      </c>
      <c r="AQ136" s="30" t="s">
        <v>245</v>
      </c>
      <c r="AR136" s="30" t="s">
        <v>245</v>
      </c>
      <c r="AS136" s="30" t="s">
        <v>245</v>
      </c>
      <c r="AT136" s="30" t="s">
        <v>1357</v>
      </c>
      <c r="AU136" s="30">
        <v>2017</v>
      </c>
      <c r="AV136" s="30">
        <v>57</v>
      </c>
      <c r="AW136" s="30" t="s">
        <v>245</v>
      </c>
      <c r="AX136" s="30" t="s">
        <v>245</v>
      </c>
      <c r="AY136" s="30" t="s">
        <v>245</v>
      </c>
      <c r="AZ136" s="30" t="s">
        <v>245</v>
      </c>
      <c r="BA136" s="30" t="s">
        <v>245</v>
      </c>
      <c r="BB136" s="30">
        <v>196</v>
      </c>
      <c r="BC136" s="30">
        <v>210</v>
      </c>
      <c r="BD136" s="30" t="s">
        <v>245</v>
      </c>
      <c r="BE136" s="30" t="s">
        <v>1358</v>
      </c>
      <c r="BF136" s="30" t="str">
        <f>HYPERLINK("http://dx.doi.org/10.1016/j.jes.2017.02.014","http://dx.doi.org/10.1016/j.jes.2017.02.014")</f>
        <v>http://dx.doi.org/10.1016/j.jes.2017.02.014</v>
      </c>
      <c r="BG136" s="30" t="s">
        <v>245</v>
      </c>
      <c r="BH136" s="30" t="s">
        <v>245</v>
      </c>
      <c r="BI136" s="30" t="s">
        <v>245</v>
      </c>
      <c r="BJ136" s="30" t="s">
        <v>245</v>
      </c>
      <c r="BK136" s="30" t="s">
        <v>245</v>
      </c>
      <c r="BL136" s="30" t="s">
        <v>245</v>
      </c>
      <c r="BM136" s="30" t="s">
        <v>245</v>
      </c>
      <c r="BN136" s="30">
        <v>28647240</v>
      </c>
      <c r="BO136" s="30" t="s">
        <v>245</v>
      </c>
      <c r="BP136" s="30" t="s">
        <v>245</v>
      </c>
      <c r="BQ136" s="30" t="s">
        <v>245</v>
      </c>
      <c r="BR136" s="30" t="s">
        <v>245</v>
      </c>
      <c r="BS136" s="30" t="s">
        <v>1359</v>
      </c>
      <c r="BT136" s="30" t="str">
        <f>HYPERLINK("https%3A%2F%2Fwww.webofscience.com%2Fwos%2Fwoscc%2Ffull-record%2FWOS:000405972600022","View Full Record in Web of Science")</f>
        <v>View Full Record in Web of Science</v>
      </c>
    </row>
    <row r="137" spans="1:72" x14ac:dyDescent="0.2">
      <c r="A137" s="30" t="s">
        <v>243</v>
      </c>
      <c r="B137" s="30" t="s">
        <v>1360</v>
      </c>
      <c r="C137" s="30" t="s">
        <v>245</v>
      </c>
      <c r="D137" s="30" t="s">
        <v>245</v>
      </c>
      <c r="E137" s="30" t="s">
        <v>245</v>
      </c>
      <c r="F137" s="30" t="s">
        <v>1361</v>
      </c>
      <c r="G137" s="30" t="s">
        <v>245</v>
      </c>
      <c r="H137" s="30" t="s">
        <v>245</v>
      </c>
      <c r="I137" s="30" t="s">
        <v>1362</v>
      </c>
      <c r="J137" s="30" t="s">
        <v>1363</v>
      </c>
      <c r="K137" s="30" t="s">
        <v>245</v>
      </c>
      <c r="L137" s="30" t="s">
        <v>245</v>
      </c>
      <c r="M137" s="30" t="s">
        <v>245</v>
      </c>
      <c r="N137" s="30" t="s">
        <v>245</v>
      </c>
      <c r="O137" s="30" t="s">
        <v>245</v>
      </c>
      <c r="P137" s="30" t="s">
        <v>245</v>
      </c>
      <c r="Q137" s="30" t="s">
        <v>245</v>
      </c>
      <c r="R137" s="30" t="s">
        <v>245</v>
      </c>
      <c r="S137" s="30" t="s">
        <v>245</v>
      </c>
      <c r="T137" s="30" t="s">
        <v>245</v>
      </c>
      <c r="U137" s="30" t="s">
        <v>245</v>
      </c>
      <c r="V137" s="30" t="s">
        <v>245</v>
      </c>
      <c r="W137" s="30" t="s">
        <v>245</v>
      </c>
      <c r="X137" s="30" t="s">
        <v>245</v>
      </c>
      <c r="Y137" s="30" t="s">
        <v>245</v>
      </c>
      <c r="Z137" s="30" t="s">
        <v>245</v>
      </c>
      <c r="AA137" s="30" t="s">
        <v>1364</v>
      </c>
      <c r="AB137" s="30" t="s">
        <v>1365</v>
      </c>
      <c r="AC137" s="30" t="s">
        <v>245</v>
      </c>
      <c r="AD137" s="30" t="s">
        <v>245</v>
      </c>
      <c r="AE137" s="30" t="s">
        <v>245</v>
      </c>
      <c r="AF137" s="30" t="s">
        <v>245</v>
      </c>
      <c r="AG137" s="30" t="s">
        <v>245</v>
      </c>
      <c r="AH137" s="30" t="s">
        <v>245</v>
      </c>
      <c r="AI137" s="30" t="s">
        <v>245</v>
      </c>
      <c r="AJ137" s="30" t="s">
        <v>245</v>
      </c>
      <c r="AK137" s="30" t="s">
        <v>245</v>
      </c>
      <c r="AL137" s="30" t="s">
        <v>245</v>
      </c>
      <c r="AM137" s="30" t="s">
        <v>245</v>
      </c>
      <c r="AN137" s="30" t="s">
        <v>245</v>
      </c>
      <c r="AO137" s="30" t="s">
        <v>1366</v>
      </c>
      <c r="AP137" s="30" t="s">
        <v>1367</v>
      </c>
      <c r="AQ137" s="30" t="s">
        <v>245</v>
      </c>
      <c r="AR137" s="30" t="s">
        <v>245</v>
      </c>
      <c r="AS137" s="30" t="s">
        <v>245</v>
      </c>
      <c r="AT137" s="30" t="s">
        <v>550</v>
      </c>
      <c r="AU137" s="30">
        <v>2020</v>
      </c>
      <c r="AV137" s="30">
        <v>210</v>
      </c>
      <c r="AW137" s="30" t="s">
        <v>245</v>
      </c>
      <c r="AX137" s="30" t="s">
        <v>245</v>
      </c>
      <c r="AY137" s="30" t="s">
        <v>245</v>
      </c>
      <c r="AZ137" s="30" t="s">
        <v>245</v>
      </c>
      <c r="BA137" s="30" t="s">
        <v>245</v>
      </c>
      <c r="BB137" s="30" t="s">
        <v>245</v>
      </c>
      <c r="BC137" s="30" t="s">
        <v>245</v>
      </c>
      <c r="BD137" s="30">
        <v>103387</v>
      </c>
      <c r="BE137" s="30" t="s">
        <v>1368</v>
      </c>
      <c r="BF137" s="30" t="str">
        <f>HYPERLINK("http://dx.doi.org/10.1016/j.earscirev.2020.103387","http://dx.doi.org/10.1016/j.earscirev.2020.103387")</f>
        <v>http://dx.doi.org/10.1016/j.earscirev.2020.103387</v>
      </c>
      <c r="BG137" s="30" t="s">
        <v>245</v>
      </c>
      <c r="BH137" s="30" t="s">
        <v>245</v>
      </c>
      <c r="BI137" s="30" t="s">
        <v>245</v>
      </c>
      <c r="BJ137" s="30" t="s">
        <v>245</v>
      </c>
      <c r="BK137" s="30" t="s">
        <v>245</v>
      </c>
      <c r="BL137" s="30" t="s">
        <v>245</v>
      </c>
      <c r="BM137" s="30" t="s">
        <v>245</v>
      </c>
      <c r="BN137" s="30" t="s">
        <v>245</v>
      </c>
      <c r="BO137" s="30" t="s">
        <v>245</v>
      </c>
      <c r="BP137" s="30" t="s">
        <v>245</v>
      </c>
      <c r="BQ137" s="30" t="s">
        <v>245</v>
      </c>
      <c r="BR137" s="30" t="s">
        <v>245</v>
      </c>
      <c r="BS137" s="30" t="s">
        <v>1369</v>
      </c>
      <c r="BT137" s="30" t="str">
        <f>HYPERLINK("https%3A%2F%2Fwww.webofscience.com%2Fwos%2Fwoscc%2Ffull-record%2FWOS:000588283400036","View Full Record in Web of Science")</f>
        <v>View Full Record in Web of Science</v>
      </c>
    </row>
    <row r="138" spans="1:72" x14ac:dyDescent="0.2">
      <c r="A138" s="30" t="s">
        <v>243</v>
      </c>
      <c r="B138" s="30" t="s">
        <v>1370</v>
      </c>
      <c r="C138" s="30" t="s">
        <v>245</v>
      </c>
      <c r="D138" s="30" t="s">
        <v>245</v>
      </c>
      <c r="E138" s="30" t="s">
        <v>245</v>
      </c>
      <c r="F138" s="30" t="s">
        <v>1371</v>
      </c>
      <c r="G138" s="30" t="s">
        <v>245</v>
      </c>
      <c r="H138" s="30" t="s">
        <v>245</v>
      </c>
      <c r="I138" s="30" t="s">
        <v>1372</v>
      </c>
      <c r="J138" s="30" t="s">
        <v>1373</v>
      </c>
      <c r="K138" s="30" t="s">
        <v>245</v>
      </c>
      <c r="L138" s="30" t="s">
        <v>245</v>
      </c>
      <c r="M138" s="30" t="s">
        <v>245</v>
      </c>
      <c r="N138" s="30" t="s">
        <v>245</v>
      </c>
      <c r="O138" s="30" t="s">
        <v>245</v>
      </c>
      <c r="P138" s="30" t="s">
        <v>245</v>
      </c>
      <c r="Q138" s="30" t="s">
        <v>245</v>
      </c>
      <c r="R138" s="30" t="s">
        <v>245</v>
      </c>
      <c r="S138" s="30" t="s">
        <v>245</v>
      </c>
      <c r="T138" s="30" t="s">
        <v>245</v>
      </c>
      <c r="U138" s="30" t="s">
        <v>245</v>
      </c>
      <c r="V138" s="30" t="s">
        <v>245</v>
      </c>
      <c r="W138" s="30" t="s">
        <v>245</v>
      </c>
      <c r="X138" s="30" t="s">
        <v>245</v>
      </c>
      <c r="Y138" s="30" t="s">
        <v>245</v>
      </c>
      <c r="Z138" s="30" t="s">
        <v>245</v>
      </c>
      <c r="AA138" s="30" t="s">
        <v>245</v>
      </c>
      <c r="AB138" s="30" t="s">
        <v>245</v>
      </c>
      <c r="AC138" s="30" t="s">
        <v>245</v>
      </c>
      <c r="AD138" s="30" t="s">
        <v>245</v>
      </c>
      <c r="AE138" s="30" t="s">
        <v>245</v>
      </c>
      <c r="AF138" s="30" t="s">
        <v>245</v>
      </c>
      <c r="AG138" s="30" t="s">
        <v>245</v>
      </c>
      <c r="AH138" s="30" t="s">
        <v>245</v>
      </c>
      <c r="AI138" s="30" t="s">
        <v>245</v>
      </c>
      <c r="AJ138" s="30" t="s">
        <v>245</v>
      </c>
      <c r="AK138" s="30" t="s">
        <v>245</v>
      </c>
      <c r="AL138" s="30" t="s">
        <v>245</v>
      </c>
      <c r="AM138" s="30" t="s">
        <v>245</v>
      </c>
      <c r="AN138" s="30" t="s">
        <v>245</v>
      </c>
      <c r="AO138" s="30" t="s">
        <v>1374</v>
      </c>
      <c r="AP138" s="30" t="s">
        <v>1375</v>
      </c>
      <c r="AQ138" s="30" t="s">
        <v>245</v>
      </c>
      <c r="AR138" s="30" t="s">
        <v>245</v>
      </c>
      <c r="AS138" s="30" t="s">
        <v>245</v>
      </c>
      <c r="AT138" s="30" t="s">
        <v>245</v>
      </c>
      <c r="AU138" s="30">
        <v>2025</v>
      </c>
      <c r="AV138" s="30">
        <v>30</v>
      </c>
      <c r="AW138" s="30" t="s">
        <v>245</v>
      </c>
      <c r="AX138" s="30" t="s">
        <v>245</v>
      </c>
      <c r="AY138" s="30" t="s">
        <v>245</v>
      </c>
      <c r="AZ138" s="30" t="s">
        <v>245</v>
      </c>
      <c r="BA138" s="30" t="s">
        <v>245</v>
      </c>
      <c r="BB138" s="30">
        <v>21</v>
      </c>
      <c r="BC138" s="30">
        <v>37</v>
      </c>
      <c r="BD138" s="30" t="s">
        <v>245</v>
      </c>
      <c r="BE138" s="30" t="s">
        <v>1376</v>
      </c>
      <c r="BF138" s="30" t="str">
        <f>HYPERLINK("http://dx.doi.org/10.58013/ber2025.d7k6-2p40","http://dx.doi.org/10.58013/ber2025.d7k6-2p40")</f>
        <v>http://dx.doi.org/10.58013/ber2025.d7k6-2p40</v>
      </c>
      <c r="BG138" s="30" t="s">
        <v>245</v>
      </c>
      <c r="BH138" s="30" t="s">
        <v>245</v>
      </c>
      <c r="BI138" s="30" t="s">
        <v>245</v>
      </c>
      <c r="BJ138" s="30" t="s">
        <v>245</v>
      </c>
      <c r="BK138" s="30" t="s">
        <v>245</v>
      </c>
      <c r="BL138" s="30" t="s">
        <v>245</v>
      </c>
      <c r="BM138" s="30" t="s">
        <v>245</v>
      </c>
      <c r="BN138" s="30" t="s">
        <v>245</v>
      </c>
      <c r="BO138" s="30" t="s">
        <v>245</v>
      </c>
      <c r="BP138" s="30" t="s">
        <v>245</v>
      </c>
      <c r="BQ138" s="30" t="s">
        <v>245</v>
      </c>
      <c r="BR138" s="30" t="s">
        <v>245</v>
      </c>
      <c r="BS138" s="30" t="s">
        <v>1377</v>
      </c>
      <c r="BT138" s="30" t="str">
        <f>HYPERLINK("https%3A%2F%2Fwww.webofscience.com%2Fwos%2Fwoscc%2Ffull-record%2FWOS:001416185600002","View Full Record in Web of Science")</f>
        <v>View Full Record in Web of Science</v>
      </c>
    </row>
    <row r="139" spans="1:72" x14ac:dyDescent="0.2">
      <c r="A139" s="30" t="s">
        <v>243</v>
      </c>
      <c r="B139" s="30" t="s">
        <v>1378</v>
      </c>
      <c r="C139" s="30" t="s">
        <v>245</v>
      </c>
      <c r="D139" s="30" t="s">
        <v>245</v>
      </c>
      <c r="E139" s="30" t="s">
        <v>245</v>
      </c>
      <c r="F139" s="30" t="s">
        <v>1379</v>
      </c>
      <c r="G139" s="30" t="s">
        <v>245</v>
      </c>
      <c r="H139" s="30" t="s">
        <v>245</v>
      </c>
      <c r="I139" s="30" t="s">
        <v>1380</v>
      </c>
      <c r="J139" s="30" t="s">
        <v>1381</v>
      </c>
      <c r="K139" s="30" t="s">
        <v>245</v>
      </c>
      <c r="L139" s="30" t="s">
        <v>245</v>
      </c>
      <c r="M139" s="30" t="s">
        <v>245</v>
      </c>
      <c r="N139" s="30" t="s">
        <v>245</v>
      </c>
      <c r="O139" s="30" t="s">
        <v>245</v>
      </c>
      <c r="P139" s="30" t="s">
        <v>245</v>
      </c>
      <c r="Q139" s="30" t="s">
        <v>245</v>
      </c>
      <c r="R139" s="30" t="s">
        <v>245</v>
      </c>
      <c r="S139" s="30" t="s">
        <v>245</v>
      </c>
      <c r="T139" s="30" t="s">
        <v>245</v>
      </c>
      <c r="U139" s="30" t="s">
        <v>245</v>
      </c>
      <c r="V139" s="30" t="s">
        <v>245</v>
      </c>
      <c r="W139" s="30" t="s">
        <v>245</v>
      </c>
      <c r="X139" s="30" t="s">
        <v>245</v>
      </c>
      <c r="Y139" s="30" t="s">
        <v>245</v>
      </c>
      <c r="Z139" s="30" t="s">
        <v>245</v>
      </c>
      <c r="AA139" s="30" t="s">
        <v>1382</v>
      </c>
      <c r="AB139" s="30" t="s">
        <v>1383</v>
      </c>
      <c r="AC139" s="30" t="s">
        <v>245</v>
      </c>
      <c r="AD139" s="30" t="s">
        <v>245</v>
      </c>
      <c r="AE139" s="30" t="s">
        <v>245</v>
      </c>
      <c r="AF139" s="30" t="s">
        <v>245</v>
      </c>
      <c r="AG139" s="30" t="s">
        <v>245</v>
      </c>
      <c r="AH139" s="30" t="s">
        <v>245</v>
      </c>
      <c r="AI139" s="30" t="s">
        <v>245</v>
      </c>
      <c r="AJ139" s="30" t="s">
        <v>245</v>
      </c>
      <c r="AK139" s="30" t="s">
        <v>245</v>
      </c>
      <c r="AL139" s="30" t="s">
        <v>245</v>
      </c>
      <c r="AM139" s="30" t="s">
        <v>245</v>
      </c>
      <c r="AN139" s="30" t="s">
        <v>245</v>
      </c>
      <c r="AO139" s="30" t="s">
        <v>1384</v>
      </c>
      <c r="AP139" s="30" t="s">
        <v>1385</v>
      </c>
      <c r="AQ139" s="30" t="s">
        <v>245</v>
      </c>
      <c r="AR139" s="30" t="s">
        <v>245</v>
      </c>
      <c r="AS139" s="30" t="s">
        <v>245</v>
      </c>
      <c r="AT139" s="30" t="s">
        <v>286</v>
      </c>
      <c r="AU139" s="30">
        <v>2016</v>
      </c>
      <c r="AV139" s="30">
        <v>14</v>
      </c>
      <c r="AW139" s="30">
        <v>1</v>
      </c>
      <c r="AX139" s="30" t="s">
        <v>245</v>
      </c>
      <c r="AY139" s="30" t="s">
        <v>245</v>
      </c>
      <c r="AZ139" s="30" t="s">
        <v>245</v>
      </c>
      <c r="BA139" s="30" t="s">
        <v>245</v>
      </c>
      <c r="BB139" s="30">
        <v>199</v>
      </c>
      <c r="BC139" s="30">
        <v>210</v>
      </c>
      <c r="BD139" s="30" t="s">
        <v>245</v>
      </c>
      <c r="BE139" s="30" t="s">
        <v>1386</v>
      </c>
      <c r="BF139" s="30" t="str">
        <f>HYPERLINK("http://dx.doi.org/10.1007/s10333-015-0490-2","http://dx.doi.org/10.1007/s10333-015-0490-2")</f>
        <v>http://dx.doi.org/10.1007/s10333-015-0490-2</v>
      </c>
      <c r="BG139" s="30" t="s">
        <v>245</v>
      </c>
      <c r="BH139" s="30" t="s">
        <v>245</v>
      </c>
      <c r="BI139" s="30" t="s">
        <v>245</v>
      </c>
      <c r="BJ139" s="30" t="s">
        <v>245</v>
      </c>
      <c r="BK139" s="30" t="s">
        <v>245</v>
      </c>
      <c r="BL139" s="30" t="s">
        <v>245</v>
      </c>
      <c r="BM139" s="30" t="s">
        <v>245</v>
      </c>
      <c r="BN139" s="30" t="s">
        <v>245</v>
      </c>
      <c r="BO139" s="30" t="s">
        <v>245</v>
      </c>
      <c r="BP139" s="30" t="s">
        <v>245</v>
      </c>
      <c r="BQ139" s="30" t="s">
        <v>245</v>
      </c>
      <c r="BR139" s="30" t="s">
        <v>245</v>
      </c>
      <c r="BS139" s="30" t="s">
        <v>1387</v>
      </c>
      <c r="BT139" s="30" t="str">
        <f>HYPERLINK("https%3A%2F%2Fwww.webofscience.com%2Fwos%2Fwoscc%2Ffull-record%2FWOS:000374249300017","View Full Record in Web of Science")</f>
        <v>View Full Record in Web of Science</v>
      </c>
    </row>
    <row r="140" spans="1:72" x14ac:dyDescent="0.2">
      <c r="A140" s="30" t="s">
        <v>243</v>
      </c>
      <c r="B140" s="30" t="s">
        <v>1388</v>
      </c>
      <c r="C140" s="30" t="s">
        <v>245</v>
      </c>
      <c r="D140" s="30" t="s">
        <v>245</v>
      </c>
      <c r="E140" s="30" t="s">
        <v>245</v>
      </c>
      <c r="F140" s="30" t="s">
        <v>1389</v>
      </c>
      <c r="G140" s="30" t="s">
        <v>245</v>
      </c>
      <c r="H140" s="30" t="s">
        <v>245</v>
      </c>
      <c r="I140" s="30" t="s">
        <v>1390</v>
      </c>
      <c r="J140" s="30" t="s">
        <v>413</v>
      </c>
      <c r="K140" s="30" t="s">
        <v>245</v>
      </c>
      <c r="L140" s="30" t="s">
        <v>245</v>
      </c>
      <c r="M140" s="30" t="s">
        <v>245</v>
      </c>
      <c r="N140" s="30" t="s">
        <v>245</v>
      </c>
      <c r="O140" s="30" t="s">
        <v>245</v>
      </c>
      <c r="P140" s="30" t="s">
        <v>245</v>
      </c>
      <c r="Q140" s="30" t="s">
        <v>245</v>
      </c>
      <c r="R140" s="30" t="s">
        <v>245</v>
      </c>
      <c r="S140" s="30" t="s">
        <v>245</v>
      </c>
      <c r="T140" s="30" t="s">
        <v>245</v>
      </c>
      <c r="U140" s="30" t="s">
        <v>245</v>
      </c>
      <c r="V140" s="30" t="s">
        <v>245</v>
      </c>
      <c r="W140" s="30" t="s">
        <v>245</v>
      </c>
      <c r="X140" s="30" t="s">
        <v>245</v>
      </c>
      <c r="Y140" s="30" t="s">
        <v>245</v>
      </c>
      <c r="Z140" s="30" t="s">
        <v>245</v>
      </c>
      <c r="AA140" s="30" t="s">
        <v>1391</v>
      </c>
      <c r="AB140" s="30" t="s">
        <v>1392</v>
      </c>
      <c r="AC140" s="30" t="s">
        <v>245</v>
      </c>
      <c r="AD140" s="30" t="s">
        <v>245</v>
      </c>
      <c r="AE140" s="30" t="s">
        <v>245</v>
      </c>
      <c r="AF140" s="30" t="s">
        <v>245</v>
      </c>
      <c r="AG140" s="30" t="s">
        <v>245</v>
      </c>
      <c r="AH140" s="30" t="s">
        <v>245</v>
      </c>
      <c r="AI140" s="30" t="s">
        <v>245</v>
      </c>
      <c r="AJ140" s="30" t="s">
        <v>245</v>
      </c>
      <c r="AK140" s="30" t="s">
        <v>245</v>
      </c>
      <c r="AL140" s="30" t="s">
        <v>245</v>
      </c>
      <c r="AM140" s="30" t="s">
        <v>245</v>
      </c>
      <c r="AN140" s="30" t="s">
        <v>245</v>
      </c>
      <c r="AO140" s="30" t="s">
        <v>416</v>
      </c>
      <c r="AP140" s="30" t="s">
        <v>417</v>
      </c>
      <c r="AQ140" s="30" t="s">
        <v>245</v>
      </c>
      <c r="AR140" s="30" t="s">
        <v>245</v>
      </c>
      <c r="AS140" s="30" t="s">
        <v>245</v>
      </c>
      <c r="AT140" s="30" t="s">
        <v>1393</v>
      </c>
      <c r="AU140" s="30">
        <v>2014</v>
      </c>
      <c r="AV140" s="30">
        <v>487</v>
      </c>
      <c r="AW140" s="30" t="s">
        <v>245</v>
      </c>
      <c r="AX140" s="30" t="s">
        <v>245</v>
      </c>
      <c r="AY140" s="30" t="s">
        <v>245</v>
      </c>
      <c r="AZ140" s="30" t="s">
        <v>245</v>
      </c>
      <c r="BA140" s="30" t="s">
        <v>245</v>
      </c>
      <c r="BB140" s="30">
        <v>91</v>
      </c>
      <c r="BC140" s="30">
        <v>96</v>
      </c>
      <c r="BD140" s="30" t="s">
        <v>245</v>
      </c>
      <c r="BE140" s="30" t="s">
        <v>1394</v>
      </c>
      <c r="BF140" s="30" t="str">
        <f>HYPERLINK("http://dx.doi.org/10.1016/j.scitotenv.2014.03.140","http://dx.doi.org/10.1016/j.scitotenv.2014.03.140")</f>
        <v>http://dx.doi.org/10.1016/j.scitotenv.2014.03.140</v>
      </c>
      <c r="BG140" s="30" t="s">
        <v>245</v>
      </c>
      <c r="BH140" s="30" t="s">
        <v>245</v>
      </c>
      <c r="BI140" s="30" t="s">
        <v>245</v>
      </c>
      <c r="BJ140" s="30" t="s">
        <v>245</v>
      </c>
      <c r="BK140" s="30" t="s">
        <v>245</v>
      </c>
      <c r="BL140" s="30" t="s">
        <v>245</v>
      </c>
      <c r="BM140" s="30" t="s">
        <v>245</v>
      </c>
      <c r="BN140" s="30">
        <v>24784732</v>
      </c>
      <c r="BO140" s="30" t="s">
        <v>245</v>
      </c>
      <c r="BP140" s="30" t="s">
        <v>245</v>
      </c>
      <c r="BQ140" s="30" t="s">
        <v>245</v>
      </c>
      <c r="BR140" s="30" t="s">
        <v>245</v>
      </c>
      <c r="BS140" s="30" t="s">
        <v>1395</v>
      </c>
      <c r="BT140" s="30" t="str">
        <f>HYPERLINK("https%3A%2F%2Fwww.webofscience.com%2Fwos%2Fwoscc%2Ffull-record%2FWOS:000337259100011","View Full Record in Web of Science")</f>
        <v>View Full Record in Web of Science</v>
      </c>
    </row>
    <row r="141" spans="1:72" x14ac:dyDescent="0.2">
      <c r="A141" s="30" t="s">
        <v>243</v>
      </c>
      <c r="B141" s="30" t="s">
        <v>1396</v>
      </c>
      <c r="C141" s="30" t="s">
        <v>245</v>
      </c>
      <c r="D141" s="30" t="s">
        <v>245</v>
      </c>
      <c r="E141" s="30" t="s">
        <v>245</v>
      </c>
      <c r="F141" s="30" t="s">
        <v>1397</v>
      </c>
      <c r="G141" s="30" t="s">
        <v>245</v>
      </c>
      <c r="H141" s="30" t="s">
        <v>245</v>
      </c>
      <c r="I141" s="30" t="s">
        <v>1398</v>
      </c>
      <c r="J141" s="30" t="s">
        <v>1399</v>
      </c>
      <c r="K141" s="30" t="s">
        <v>245</v>
      </c>
      <c r="L141" s="30" t="s">
        <v>245</v>
      </c>
      <c r="M141" s="30" t="s">
        <v>245</v>
      </c>
      <c r="N141" s="30" t="s">
        <v>245</v>
      </c>
      <c r="O141" s="30" t="s">
        <v>245</v>
      </c>
      <c r="P141" s="30" t="s">
        <v>245</v>
      </c>
      <c r="Q141" s="30" t="s">
        <v>245</v>
      </c>
      <c r="R141" s="30" t="s">
        <v>245</v>
      </c>
      <c r="S141" s="30" t="s">
        <v>245</v>
      </c>
      <c r="T141" s="30" t="s">
        <v>245</v>
      </c>
      <c r="U141" s="30" t="s">
        <v>245</v>
      </c>
      <c r="V141" s="30" t="s">
        <v>245</v>
      </c>
      <c r="W141" s="30" t="s">
        <v>245</v>
      </c>
      <c r="X141" s="30" t="s">
        <v>245</v>
      </c>
      <c r="Y141" s="30" t="s">
        <v>245</v>
      </c>
      <c r="Z141" s="30" t="s">
        <v>245</v>
      </c>
      <c r="AA141" s="30" t="s">
        <v>245</v>
      </c>
      <c r="AB141" s="30" t="s">
        <v>1400</v>
      </c>
      <c r="AC141" s="30" t="s">
        <v>245</v>
      </c>
      <c r="AD141" s="30" t="s">
        <v>245</v>
      </c>
      <c r="AE141" s="30" t="s">
        <v>245</v>
      </c>
      <c r="AF141" s="30" t="s">
        <v>245</v>
      </c>
      <c r="AG141" s="30" t="s">
        <v>245</v>
      </c>
      <c r="AH141" s="30" t="s">
        <v>245</v>
      </c>
      <c r="AI141" s="30" t="s">
        <v>245</v>
      </c>
      <c r="AJ141" s="30" t="s">
        <v>245</v>
      </c>
      <c r="AK141" s="30" t="s">
        <v>245</v>
      </c>
      <c r="AL141" s="30" t="s">
        <v>245</v>
      </c>
      <c r="AM141" s="30" t="s">
        <v>245</v>
      </c>
      <c r="AN141" s="30" t="s">
        <v>245</v>
      </c>
      <c r="AO141" s="30" t="s">
        <v>245</v>
      </c>
      <c r="AP141" s="30" t="s">
        <v>1401</v>
      </c>
      <c r="AQ141" s="30" t="s">
        <v>245</v>
      </c>
      <c r="AR141" s="30" t="s">
        <v>245</v>
      </c>
      <c r="AS141" s="30" t="s">
        <v>245</v>
      </c>
      <c r="AT141" s="30" t="s">
        <v>487</v>
      </c>
      <c r="AU141" s="30">
        <v>2021</v>
      </c>
      <c r="AV141" s="30">
        <v>17</v>
      </c>
      <c r="AW141" s="30" t="s">
        <v>245</v>
      </c>
      <c r="AX141" s="30" t="s">
        <v>245</v>
      </c>
      <c r="AY141" s="30" t="s">
        <v>245</v>
      </c>
      <c r="AZ141" s="30" t="s">
        <v>245</v>
      </c>
      <c r="BA141" s="30" t="s">
        <v>245</v>
      </c>
      <c r="BB141" s="30" t="s">
        <v>245</v>
      </c>
      <c r="BC141" s="30" t="s">
        <v>245</v>
      </c>
      <c r="BD141" s="30">
        <v>100283</v>
      </c>
      <c r="BE141" s="30" t="s">
        <v>1402</v>
      </c>
      <c r="BF141" s="30" t="str">
        <f>HYPERLINK("http://dx.doi.org/10.1016/j.rhisph.2020.100283","http://dx.doi.org/10.1016/j.rhisph.2020.100283")</f>
        <v>http://dx.doi.org/10.1016/j.rhisph.2020.100283</v>
      </c>
      <c r="BG141" s="30" t="s">
        <v>245</v>
      </c>
      <c r="BH141" s="30" t="s">
        <v>245</v>
      </c>
      <c r="BI141" s="30" t="s">
        <v>245</v>
      </c>
      <c r="BJ141" s="30" t="s">
        <v>245</v>
      </c>
      <c r="BK141" s="30" t="s">
        <v>245</v>
      </c>
      <c r="BL141" s="30" t="s">
        <v>245</v>
      </c>
      <c r="BM141" s="30" t="s">
        <v>245</v>
      </c>
      <c r="BN141" s="30" t="s">
        <v>245</v>
      </c>
      <c r="BO141" s="30" t="s">
        <v>245</v>
      </c>
      <c r="BP141" s="30" t="s">
        <v>245</v>
      </c>
      <c r="BQ141" s="30" t="s">
        <v>245</v>
      </c>
      <c r="BR141" s="30" t="s">
        <v>245</v>
      </c>
      <c r="BS141" s="30" t="s">
        <v>1403</v>
      </c>
      <c r="BT141" s="30" t="str">
        <f>HYPERLINK("https%3A%2F%2Fwww.webofscience.com%2Fwos%2Fwoscc%2Ffull-record%2FWOS:000621755200009","View Full Record in Web of Science")</f>
        <v>View Full Record in Web of Science</v>
      </c>
    </row>
    <row r="142" spans="1:72" x14ac:dyDescent="0.2">
      <c r="A142" s="30" t="s">
        <v>243</v>
      </c>
      <c r="B142" s="30" t="s">
        <v>1404</v>
      </c>
      <c r="C142" s="30" t="s">
        <v>245</v>
      </c>
      <c r="D142" s="30" t="s">
        <v>245</v>
      </c>
      <c r="E142" s="30" t="s">
        <v>245</v>
      </c>
      <c r="F142" s="30" t="s">
        <v>1405</v>
      </c>
      <c r="G142" s="30" t="s">
        <v>245</v>
      </c>
      <c r="H142" s="30" t="s">
        <v>245</v>
      </c>
      <c r="I142" s="30" t="s">
        <v>1406</v>
      </c>
      <c r="J142" s="30" t="s">
        <v>641</v>
      </c>
      <c r="K142" s="30" t="s">
        <v>245</v>
      </c>
      <c r="L142" s="30" t="s">
        <v>245</v>
      </c>
      <c r="M142" s="30" t="s">
        <v>245</v>
      </c>
      <c r="N142" s="30" t="s">
        <v>245</v>
      </c>
      <c r="O142" s="30" t="s">
        <v>245</v>
      </c>
      <c r="P142" s="30" t="s">
        <v>245</v>
      </c>
      <c r="Q142" s="30" t="s">
        <v>245</v>
      </c>
      <c r="R142" s="30" t="s">
        <v>245</v>
      </c>
      <c r="S142" s="30" t="s">
        <v>245</v>
      </c>
      <c r="T142" s="30" t="s">
        <v>245</v>
      </c>
      <c r="U142" s="30" t="s">
        <v>245</v>
      </c>
      <c r="V142" s="30" t="s">
        <v>245</v>
      </c>
      <c r="W142" s="30" t="s">
        <v>245</v>
      </c>
      <c r="X142" s="30" t="s">
        <v>245</v>
      </c>
      <c r="Y142" s="30" t="s">
        <v>245</v>
      </c>
      <c r="Z142" s="30" t="s">
        <v>245</v>
      </c>
      <c r="AA142" s="30" t="s">
        <v>245</v>
      </c>
      <c r="AB142" s="30" t="s">
        <v>245</v>
      </c>
      <c r="AC142" s="30" t="s">
        <v>245</v>
      </c>
      <c r="AD142" s="30" t="s">
        <v>245</v>
      </c>
      <c r="AE142" s="30" t="s">
        <v>245</v>
      </c>
      <c r="AF142" s="30" t="s">
        <v>245</v>
      </c>
      <c r="AG142" s="30" t="s">
        <v>245</v>
      </c>
      <c r="AH142" s="30" t="s">
        <v>245</v>
      </c>
      <c r="AI142" s="30" t="s">
        <v>245</v>
      </c>
      <c r="AJ142" s="30" t="s">
        <v>245</v>
      </c>
      <c r="AK142" s="30" t="s">
        <v>245</v>
      </c>
      <c r="AL142" s="30" t="s">
        <v>245</v>
      </c>
      <c r="AM142" s="30" t="s">
        <v>245</v>
      </c>
      <c r="AN142" s="30" t="s">
        <v>245</v>
      </c>
      <c r="AO142" s="30" t="s">
        <v>644</v>
      </c>
      <c r="AP142" s="30" t="s">
        <v>645</v>
      </c>
      <c r="AQ142" s="30" t="s">
        <v>245</v>
      </c>
      <c r="AR142" s="30" t="s">
        <v>245</v>
      </c>
      <c r="AS142" s="30" t="s">
        <v>245</v>
      </c>
      <c r="AT142" s="30" t="s">
        <v>814</v>
      </c>
      <c r="AU142" s="30">
        <v>2013</v>
      </c>
      <c r="AV142" s="30">
        <v>42</v>
      </c>
      <c r="AW142" s="30">
        <v>4</v>
      </c>
      <c r="AX142" s="30" t="s">
        <v>245</v>
      </c>
      <c r="AY142" s="30" t="s">
        <v>245</v>
      </c>
      <c r="AZ142" s="30" t="s">
        <v>245</v>
      </c>
      <c r="BA142" s="30" t="s">
        <v>245</v>
      </c>
      <c r="BB142" s="30">
        <v>1100</v>
      </c>
      <c r="BC142" s="30">
        <v>1108</v>
      </c>
      <c r="BD142" s="30" t="s">
        <v>245</v>
      </c>
      <c r="BE142" s="30" t="s">
        <v>1407</v>
      </c>
      <c r="BF142" s="30" t="str">
        <f>HYPERLINK("http://dx.doi.org/10.2134/jeq2012.0486","http://dx.doi.org/10.2134/jeq2012.0486")</f>
        <v>http://dx.doi.org/10.2134/jeq2012.0486</v>
      </c>
      <c r="BG142" s="30" t="s">
        <v>245</v>
      </c>
      <c r="BH142" s="30" t="s">
        <v>245</v>
      </c>
      <c r="BI142" s="30" t="s">
        <v>245</v>
      </c>
      <c r="BJ142" s="30" t="s">
        <v>245</v>
      </c>
      <c r="BK142" s="30" t="s">
        <v>245</v>
      </c>
      <c r="BL142" s="30" t="s">
        <v>245</v>
      </c>
      <c r="BM142" s="30" t="s">
        <v>245</v>
      </c>
      <c r="BN142" s="30">
        <v>24216361</v>
      </c>
      <c r="BO142" s="30" t="s">
        <v>245</v>
      </c>
      <c r="BP142" s="30" t="s">
        <v>245</v>
      </c>
      <c r="BQ142" s="30" t="s">
        <v>245</v>
      </c>
      <c r="BR142" s="30" t="s">
        <v>245</v>
      </c>
      <c r="BS142" s="30" t="s">
        <v>1408</v>
      </c>
      <c r="BT142" s="30" t="str">
        <f>HYPERLINK("https%3A%2F%2Fwww.webofscience.com%2Fwos%2Fwoscc%2Ffull-record%2FWOS:000321822300016","View Full Record in Web of Science")</f>
        <v>View Full Record in Web of Science</v>
      </c>
    </row>
    <row r="143" spans="1:72" x14ac:dyDescent="0.2">
      <c r="A143" s="30" t="s">
        <v>243</v>
      </c>
      <c r="B143" s="30" t="s">
        <v>1409</v>
      </c>
      <c r="C143" s="30" t="s">
        <v>245</v>
      </c>
      <c r="D143" s="30" t="s">
        <v>245</v>
      </c>
      <c r="E143" s="30" t="s">
        <v>245</v>
      </c>
      <c r="F143" s="30" t="s">
        <v>1410</v>
      </c>
      <c r="G143" s="30" t="s">
        <v>245</v>
      </c>
      <c r="H143" s="30" t="s">
        <v>245</v>
      </c>
      <c r="I143" s="30" t="s">
        <v>1411</v>
      </c>
      <c r="J143" s="30" t="s">
        <v>541</v>
      </c>
      <c r="K143" s="30" t="s">
        <v>245</v>
      </c>
      <c r="L143" s="30" t="s">
        <v>245</v>
      </c>
      <c r="M143" s="30" t="s">
        <v>245</v>
      </c>
      <c r="N143" s="30" t="s">
        <v>245</v>
      </c>
      <c r="O143" s="30" t="s">
        <v>245</v>
      </c>
      <c r="P143" s="30" t="s">
        <v>245</v>
      </c>
      <c r="Q143" s="30" t="s">
        <v>245</v>
      </c>
      <c r="R143" s="30" t="s">
        <v>245</v>
      </c>
      <c r="S143" s="30" t="s">
        <v>245</v>
      </c>
      <c r="T143" s="30" t="s">
        <v>245</v>
      </c>
      <c r="U143" s="30" t="s">
        <v>245</v>
      </c>
      <c r="V143" s="30" t="s">
        <v>245</v>
      </c>
      <c r="W143" s="30" t="s">
        <v>245</v>
      </c>
      <c r="X143" s="30" t="s">
        <v>245</v>
      </c>
      <c r="Y143" s="30" t="s">
        <v>245</v>
      </c>
      <c r="Z143" s="30" t="s">
        <v>245</v>
      </c>
      <c r="AA143" s="30" t="s">
        <v>1412</v>
      </c>
      <c r="AB143" s="30" t="s">
        <v>1413</v>
      </c>
      <c r="AC143" s="30" t="s">
        <v>245</v>
      </c>
      <c r="AD143" s="30" t="s">
        <v>245</v>
      </c>
      <c r="AE143" s="30" t="s">
        <v>245</v>
      </c>
      <c r="AF143" s="30" t="s">
        <v>245</v>
      </c>
      <c r="AG143" s="30" t="s">
        <v>245</v>
      </c>
      <c r="AH143" s="30" t="s">
        <v>245</v>
      </c>
      <c r="AI143" s="30" t="s">
        <v>245</v>
      </c>
      <c r="AJ143" s="30" t="s">
        <v>245</v>
      </c>
      <c r="AK143" s="30" t="s">
        <v>245</v>
      </c>
      <c r="AL143" s="30" t="s">
        <v>245</v>
      </c>
      <c r="AM143" s="30" t="s">
        <v>245</v>
      </c>
      <c r="AN143" s="30" t="s">
        <v>245</v>
      </c>
      <c r="AO143" s="30" t="s">
        <v>544</v>
      </c>
      <c r="AP143" s="30" t="s">
        <v>545</v>
      </c>
      <c r="AQ143" s="30" t="s">
        <v>245</v>
      </c>
      <c r="AR143" s="30" t="s">
        <v>245</v>
      </c>
      <c r="AS143" s="30" t="s">
        <v>245</v>
      </c>
      <c r="AT143" s="30" t="s">
        <v>474</v>
      </c>
      <c r="AU143" s="30">
        <v>2020</v>
      </c>
      <c r="AV143" s="30">
        <v>290</v>
      </c>
      <c r="AW143" s="30" t="s">
        <v>245</v>
      </c>
      <c r="AX143" s="30" t="s">
        <v>245</v>
      </c>
      <c r="AY143" s="30" t="s">
        <v>245</v>
      </c>
      <c r="AZ143" s="30" t="s">
        <v>245</v>
      </c>
      <c r="BA143" s="30" t="s">
        <v>245</v>
      </c>
      <c r="BB143" s="30" t="s">
        <v>245</v>
      </c>
      <c r="BC143" s="30" t="s">
        <v>245</v>
      </c>
      <c r="BD143" s="30">
        <v>106725</v>
      </c>
      <c r="BE143" s="30" t="s">
        <v>1414</v>
      </c>
      <c r="BF143" s="30" t="str">
        <f>HYPERLINK("http://dx.doi.org/10.1016/j.agee.2019.106725","http://dx.doi.org/10.1016/j.agee.2019.106725")</f>
        <v>http://dx.doi.org/10.1016/j.agee.2019.106725</v>
      </c>
      <c r="BG143" s="30" t="s">
        <v>245</v>
      </c>
      <c r="BH143" s="30" t="s">
        <v>245</v>
      </c>
      <c r="BI143" s="30" t="s">
        <v>245</v>
      </c>
      <c r="BJ143" s="30" t="s">
        <v>245</v>
      </c>
      <c r="BK143" s="30" t="s">
        <v>245</v>
      </c>
      <c r="BL143" s="30" t="s">
        <v>245</v>
      </c>
      <c r="BM143" s="30" t="s">
        <v>245</v>
      </c>
      <c r="BN143" s="30" t="s">
        <v>245</v>
      </c>
      <c r="BO143" s="30" t="s">
        <v>245</v>
      </c>
      <c r="BP143" s="30" t="s">
        <v>245</v>
      </c>
      <c r="BQ143" s="30" t="s">
        <v>245</v>
      </c>
      <c r="BR143" s="30" t="s">
        <v>245</v>
      </c>
      <c r="BS143" s="30" t="s">
        <v>1415</v>
      </c>
      <c r="BT143" s="30" t="str">
        <f>HYPERLINK("https%3A%2F%2Fwww.webofscience.com%2Fwos%2Fwoscc%2Ffull-record%2FWOS:000514929300002","View Full Record in Web of Science")</f>
        <v>View Full Record in Web of Science</v>
      </c>
    </row>
    <row r="144" spans="1:72" x14ac:dyDescent="0.2">
      <c r="A144" s="30" t="s">
        <v>243</v>
      </c>
      <c r="B144" s="30" t="s">
        <v>1416</v>
      </c>
      <c r="C144" s="30" t="s">
        <v>245</v>
      </c>
      <c r="D144" s="30" t="s">
        <v>245</v>
      </c>
      <c r="E144" s="30" t="s">
        <v>245</v>
      </c>
      <c r="F144" s="30" t="s">
        <v>1416</v>
      </c>
      <c r="G144" s="30" t="s">
        <v>245</v>
      </c>
      <c r="H144" s="30" t="s">
        <v>245</v>
      </c>
      <c r="I144" s="30" t="s">
        <v>1417</v>
      </c>
      <c r="J144" s="30" t="s">
        <v>1015</v>
      </c>
      <c r="K144" s="30" t="s">
        <v>245</v>
      </c>
      <c r="L144" s="30" t="s">
        <v>245</v>
      </c>
      <c r="M144" s="30" t="s">
        <v>245</v>
      </c>
      <c r="N144" s="30" t="s">
        <v>245</v>
      </c>
      <c r="O144" s="30" t="s">
        <v>245</v>
      </c>
      <c r="P144" s="30" t="s">
        <v>245</v>
      </c>
      <c r="Q144" s="30" t="s">
        <v>245</v>
      </c>
      <c r="R144" s="30" t="s">
        <v>245</v>
      </c>
      <c r="S144" s="30" t="s">
        <v>245</v>
      </c>
      <c r="T144" s="30" t="s">
        <v>245</v>
      </c>
      <c r="U144" s="30" t="s">
        <v>245</v>
      </c>
      <c r="V144" s="30" t="s">
        <v>245</v>
      </c>
      <c r="W144" s="30" t="s">
        <v>245</v>
      </c>
      <c r="X144" s="30" t="s">
        <v>245</v>
      </c>
      <c r="Y144" s="30" t="s">
        <v>245</v>
      </c>
      <c r="Z144" s="30" t="s">
        <v>245</v>
      </c>
      <c r="AA144" s="30" t="s">
        <v>245</v>
      </c>
      <c r="AB144" s="30" t="s">
        <v>245</v>
      </c>
      <c r="AC144" s="30" t="s">
        <v>245</v>
      </c>
      <c r="AD144" s="30" t="s">
        <v>245</v>
      </c>
      <c r="AE144" s="30" t="s">
        <v>245</v>
      </c>
      <c r="AF144" s="30" t="s">
        <v>245</v>
      </c>
      <c r="AG144" s="30" t="s">
        <v>245</v>
      </c>
      <c r="AH144" s="30" t="s">
        <v>245</v>
      </c>
      <c r="AI144" s="30" t="s">
        <v>245</v>
      </c>
      <c r="AJ144" s="30" t="s">
        <v>245</v>
      </c>
      <c r="AK144" s="30" t="s">
        <v>245</v>
      </c>
      <c r="AL144" s="30" t="s">
        <v>245</v>
      </c>
      <c r="AM144" s="30" t="s">
        <v>245</v>
      </c>
      <c r="AN144" s="30" t="s">
        <v>245</v>
      </c>
      <c r="AO144" s="30" t="s">
        <v>1018</v>
      </c>
      <c r="AP144" s="30" t="s">
        <v>245</v>
      </c>
      <c r="AQ144" s="30" t="s">
        <v>245</v>
      </c>
      <c r="AR144" s="30" t="s">
        <v>245</v>
      </c>
      <c r="AS144" s="30" t="s">
        <v>245</v>
      </c>
      <c r="AT144" s="30" t="s">
        <v>354</v>
      </c>
      <c r="AU144" s="30">
        <v>2001</v>
      </c>
      <c r="AV144" s="30">
        <v>53</v>
      </c>
      <c r="AW144" s="30">
        <v>2</v>
      </c>
      <c r="AX144" s="30" t="s">
        <v>245</v>
      </c>
      <c r="AY144" s="30" t="s">
        <v>245</v>
      </c>
      <c r="AZ144" s="30" t="s">
        <v>245</v>
      </c>
      <c r="BA144" s="30" t="s">
        <v>245</v>
      </c>
      <c r="BB144" s="30">
        <v>143</v>
      </c>
      <c r="BC144" s="30">
        <v>160</v>
      </c>
      <c r="BD144" s="30" t="s">
        <v>245</v>
      </c>
      <c r="BE144" s="30" t="s">
        <v>1418</v>
      </c>
      <c r="BF144" s="30" t="str">
        <f>HYPERLINK("http://dx.doi.org/10.1023/A:1010774610050","http://dx.doi.org/10.1023/A:1010774610050")</f>
        <v>http://dx.doi.org/10.1023/A:1010774610050</v>
      </c>
      <c r="BG144" s="30" t="s">
        <v>245</v>
      </c>
      <c r="BH144" s="30" t="s">
        <v>245</v>
      </c>
      <c r="BI144" s="30" t="s">
        <v>245</v>
      </c>
      <c r="BJ144" s="30" t="s">
        <v>245</v>
      </c>
      <c r="BK144" s="30" t="s">
        <v>245</v>
      </c>
      <c r="BL144" s="30" t="s">
        <v>245</v>
      </c>
      <c r="BM144" s="30" t="s">
        <v>245</v>
      </c>
      <c r="BN144" s="30" t="s">
        <v>245</v>
      </c>
      <c r="BO144" s="30" t="s">
        <v>245</v>
      </c>
      <c r="BP144" s="30" t="s">
        <v>245</v>
      </c>
      <c r="BQ144" s="30" t="s">
        <v>245</v>
      </c>
      <c r="BR144" s="30" t="s">
        <v>245</v>
      </c>
      <c r="BS144" s="30" t="s">
        <v>1419</v>
      </c>
      <c r="BT144" s="30" t="str">
        <f>HYPERLINK("https%3A%2F%2Fwww.webofscience.com%2Fwos%2Fwoscc%2Ffull-record%2FWOS:000167922000002","View Full Record in Web of Science")</f>
        <v>View Full Record in Web of Science</v>
      </c>
    </row>
    <row r="145" spans="1:72" x14ac:dyDescent="0.2">
      <c r="A145" s="30" t="s">
        <v>243</v>
      </c>
      <c r="B145" s="30" t="s">
        <v>1420</v>
      </c>
      <c r="C145" s="30" t="s">
        <v>245</v>
      </c>
      <c r="D145" s="30" t="s">
        <v>245</v>
      </c>
      <c r="E145" s="30" t="s">
        <v>245</v>
      </c>
      <c r="F145" s="30" t="s">
        <v>1421</v>
      </c>
      <c r="G145" s="30" t="s">
        <v>245</v>
      </c>
      <c r="H145" s="30" t="s">
        <v>245</v>
      </c>
      <c r="I145" s="30" t="s">
        <v>1422</v>
      </c>
      <c r="J145" s="30" t="s">
        <v>758</v>
      </c>
      <c r="K145" s="30" t="s">
        <v>245</v>
      </c>
      <c r="L145" s="30" t="s">
        <v>245</v>
      </c>
      <c r="M145" s="30" t="s">
        <v>245</v>
      </c>
      <c r="N145" s="30" t="s">
        <v>245</v>
      </c>
      <c r="O145" s="30" t="s">
        <v>245</v>
      </c>
      <c r="P145" s="30" t="s">
        <v>245</v>
      </c>
      <c r="Q145" s="30" t="s">
        <v>245</v>
      </c>
      <c r="R145" s="30" t="s">
        <v>245</v>
      </c>
      <c r="S145" s="30" t="s">
        <v>245</v>
      </c>
      <c r="T145" s="30" t="s">
        <v>245</v>
      </c>
      <c r="U145" s="30" t="s">
        <v>245</v>
      </c>
      <c r="V145" s="30" t="s">
        <v>245</v>
      </c>
      <c r="W145" s="30" t="s">
        <v>245</v>
      </c>
      <c r="X145" s="30" t="s">
        <v>245</v>
      </c>
      <c r="Y145" s="30" t="s">
        <v>245</v>
      </c>
      <c r="Z145" s="30" t="s">
        <v>245</v>
      </c>
      <c r="AA145" s="30" t="s">
        <v>245</v>
      </c>
      <c r="AB145" s="30" t="s">
        <v>1423</v>
      </c>
      <c r="AC145" s="30" t="s">
        <v>245</v>
      </c>
      <c r="AD145" s="30" t="s">
        <v>245</v>
      </c>
      <c r="AE145" s="30" t="s">
        <v>245</v>
      </c>
      <c r="AF145" s="30" t="s">
        <v>245</v>
      </c>
      <c r="AG145" s="30" t="s">
        <v>245</v>
      </c>
      <c r="AH145" s="30" t="s">
        <v>245</v>
      </c>
      <c r="AI145" s="30" t="s">
        <v>245</v>
      </c>
      <c r="AJ145" s="30" t="s">
        <v>245</v>
      </c>
      <c r="AK145" s="30" t="s">
        <v>245</v>
      </c>
      <c r="AL145" s="30" t="s">
        <v>245</v>
      </c>
      <c r="AM145" s="30" t="s">
        <v>245</v>
      </c>
      <c r="AN145" s="30" t="s">
        <v>245</v>
      </c>
      <c r="AO145" s="30" t="s">
        <v>759</v>
      </c>
      <c r="AP145" s="30" t="s">
        <v>822</v>
      </c>
      <c r="AQ145" s="30" t="s">
        <v>245</v>
      </c>
      <c r="AR145" s="30" t="s">
        <v>245</v>
      </c>
      <c r="AS145" s="30" t="s">
        <v>245</v>
      </c>
      <c r="AT145" s="30" t="s">
        <v>297</v>
      </c>
      <c r="AU145" s="30">
        <v>2022</v>
      </c>
      <c r="AV145" s="30">
        <v>58</v>
      </c>
      <c r="AW145" s="30">
        <v>7</v>
      </c>
      <c r="AX145" s="30" t="s">
        <v>245</v>
      </c>
      <c r="AY145" s="30" t="s">
        <v>245</v>
      </c>
      <c r="AZ145" s="30" t="s">
        <v>245</v>
      </c>
      <c r="BA145" s="30" t="s">
        <v>245</v>
      </c>
      <c r="BB145" s="30">
        <v>771</v>
      </c>
      <c r="BC145" s="30">
        <v>788</v>
      </c>
      <c r="BD145" s="30" t="s">
        <v>245</v>
      </c>
      <c r="BE145" s="30" t="s">
        <v>1424</v>
      </c>
      <c r="BF145" s="30" t="str">
        <f>HYPERLINK("http://dx.doi.org/10.1007/s00374-022-01662-9","http://dx.doi.org/10.1007/s00374-022-01662-9")</f>
        <v>http://dx.doi.org/10.1007/s00374-022-01662-9</v>
      </c>
      <c r="BG145" s="30" t="s">
        <v>245</v>
      </c>
      <c r="BH145" s="30" t="s">
        <v>1425</v>
      </c>
      <c r="BI145" s="30" t="s">
        <v>245</v>
      </c>
      <c r="BJ145" s="30" t="s">
        <v>245</v>
      </c>
      <c r="BK145" s="30" t="s">
        <v>245</v>
      </c>
      <c r="BL145" s="30" t="s">
        <v>245</v>
      </c>
      <c r="BM145" s="30" t="s">
        <v>245</v>
      </c>
      <c r="BN145" s="30" t="s">
        <v>245</v>
      </c>
      <c r="BO145" s="30" t="s">
        <v>245</v>
      </c>
      <c r="BP145" s="30" t="s">
        <v>245</v>
      </c>
      <c r="BQ145" s="30" t="s">
        <v>245</v>
      </c>
      <c r="BR145" s="30" t="s">
        <v>245</v>
      </c>
      <c r="BS145" s="30" t="s">
        <v>1426</v>
      </c>
      <c r="BT145" s="30" t="str">
        <f>HYPERLINK("https%3A%2F%2Fwww.webofscience.com%2Fwos%2Fwoscc%2Ffull-record%2FWOS:000849179500002","View Full Record in Web of Science")</f>
        <v>View Full Record in Web of Science</v>
      </c>
    </row>
    <row r="146" spans="1:72" x14ac:dyDescent="0.2">
      <c r="A146" s="30" t="s">
        <v>243</v>
      </c>
      <c r="B146" s="30" t="s">
        <v>1427</v>
      </c>
      <c r="C146" s="30" t="s">
        <v>245</v>
      </c>
      <c r="D146" s="30" t="s">
        <v>245</v>
      </c>
      <c r="E146" s="30" t="s">
        <v>245</v>
      </c>
      <c r="F146" s="30" t="s">
        <v>1427</v>
      </c>
      <c r="G146" s="30" t="s">
        <v>245</v>
      </c>
      <c r="H146" s="30" t="s">
        <v>245</v>
      </c>
      <c r="I146" s="30" t="s">
        <v>1428</v>
      </c>
      <c r="J146" s="30" t="s">
        <v>691</v>
      </c>
      <c r="K146" s="30" t="s">
        <v>245</v>
      </c>
      <c r="L146" s="30" t="s">
        <v>245</v>
      </c>
      <c r="M146" s="30" t="s">
        <v>245</v>
      </c>
      <c r="N146" s="30" t="s">
        <v>245</v>
      </c>
      <c r="O146" s="30" t="s">
        <v>245</v>
      </c>
      <c r="P146" s="30" t="s">
        <v>245</v>
      </c>
      <c r="Q146" s="30" t="s">
        <v>245</v>
      </c>
      <c r="R146" s="30" t="s">
        <v>245</v>
      </c>
      <c r="S146" s="30" t="s">
        <v>245</v>
      </c>
      <c r="T146" s="30" t="s">
        <v>245</v>
      </c>
      <c r="U146" s="30" t="s">
        <v>245</v>
      </c>
      <c r="V146" s="30" t="s">
        <v>245</v>
      </c>
      <c r="W146" s="30" t="s">
        <v>245</v>
      </c>
      <c r="X146" s="30" t="s">
        <v>245</v>
      </c>
      <c r="Y146" s="30" t="s">
        <v>245</v>
      </c>
      <c r="Z146" s="30" t="s">
        <v>245</v>
      </c>
      <c r="AA146" s="30" t="s">
        <v>351</v>
      </c>
      <c r="AB146" s="30" t="s">
        <v>245</v>
      </c>
      <c r="AC146" s="30" t="s">
        <v>245</v>
      </c>
      <c r="AD146" s="30" t="s">
        <v>245</v>
      </c>
      <c r="AE146" s="30" t="s">
        <v>245</v>
      </c>
      <c r="AF146" s="30" t="s">
        <v>245</v>
      </c>
      <c r="AG146" s="30" t="s">
        <v>245</v>
      </c>
      <c r="AH146" s="30" t="s">
        <v>245</v>
      </c>
      <c r="AI146" s="30" t="s">
        <v>245</v>
      </c>
      <c r="AJ146" s="30" t="s">
        <v>245</v>
      </c>
      <c r="AK146" s="30" t="s">
        <v>245</v>
      </c>
      <c r="AL146" s="30" t="s">
        <v>245</v>
      </c>
      <c r="AM146" s="30" t="s">
        <v>245</v>
      </c>
      <c r="AN146" s="30" t="s">
        <v>245</v>
      </c>
      <c r="AO146" s="30" t="s">
        <v>692</v>
      </c>
      <c r="AP146" s="30" t="s">
        <v>245</v>
      </c>
      <c r="AQ146" s="30" t="s">
        <v>245</v>
      </c>
      <c r="AR146" s="30" t="s">
        <v>245</v>
      </c>
      <c r="AS146" s="30" t="s">
        <v>245</v>
      </c>
      <c r="AT146" s="30" t="s">
        <v>1429</v>
      </c>
      <c r="AU146" s="30">
        <v>2003</v>
      </c>
      <c r="AV146" s="30">
        <v>84</v>
      </c>
      <c r="AW146" s="30">
        <v>10</v>
      </c>
      <c r="AX146" s="30" t="s">
        <v>245</v>
      </c>
      <c r="AY146" s="30" t="s">
        <v>245</v>
      </c>
      <c r="AZ146" s="30" t="s">
        <v>245</v>
      </c>
      <c r="BA146" s="30" t="s">
        <v>245</v>
      </c>
      <c r="BB146" s="30">
        <v>1317</v>
      </c>
      <c r="BC146" s="30">
        <v>1326</v>
      </c>
      <c r="BD146" s="30" t="s">
        <v>245</v>
      </c>
      <c r="BE146" s="30" t="s">
        <v>245</v>
      </c>
      <c r="BF146" s="30" t="s">
        <v>245</v>
      </c>
      <c r="BG146" s="30" t="s">
        <v>245</v>
      </c>
      <c r="BH146" s="30" t="s">
        <v>245</v>
      </c>
      <c r="BI146" s="30" t="s">
        <v>245</v>
      </c>
      <c r="BJ146" s="30" t="s">
        <v>245</v>
      </c>
      <c r="BK146" s="30" t="s">
        <v>245</v>
      </c>
      <c r="BL146" s="30" t="s">
        <v>245</v>
      </c>
      <c r="BM146" s="30" t="s">
        <v>245</v>
      </c>
      <c r="BN146" s="30" t="s">
        <v>245</v>
      </c>
      <c r="BO146" s="30" t="s">
        <v>245</v>
      </c>
      <c r="BP146" s="30" t="s">
        <v>245</v>
      </c>
      <c r="BQ146" s="30" t="s">
        <v>245</v>
      </c>
      <c r="BR146" s="30" t="s">
        <v>245</v>
      </c>
      <c r="BS146" s="30" t="s">
        <v>1430</v>
      </c>
      <c r="BT146" s="30" t="str">
        <f>HYPERLINK("https%3A%2F%2Fwww.webofscience.com%2Fwos%2Fwoscc%2Ffull-record%2FWOS:000183509600019","View Full Record in Web of Science")</f>
        <v>View Full Record in Web of Science</v>
      </c>
    </row>
    <row r="147" spans="1:72" x14ac:dyDescent="0.2">
      <c r="A147" s="30" t="s">
        <v>243</v>
      </c>
      <c r="B147" s="30" t="s">
        <v>1431</v>
      </c>
      <c r="C147" s="30" t="s">
        <v>245</v>
      </c>
      <c r="D147" s="30" t="s">
        <v>245</v>
      </c>
      <c r="E147" s="30" t="s">
        <v>245</v>
      </c>
      <c r="F147" s="30" t="s">
        <v>1431</v>
      </c>
      <c r="G147" s="30" t="s">
        <v>245</v>
      </c>
      <c r="H147" s="30" t="s">
        <v>245</v>
      </c>
      <c r="I147" s="30" t="s">
        <v>1432</v>
      </c>
      <c r="J147" s="30" t="s">
        <v>875</v>
      </c>
      <c r="K147" s="30" t="s">
        <v>245</v>
      </c>
      <c r="L147" s="30" t="s">
        <v>245</v>
      </c>
      <c r="M147" s="30" t="s">
        <v>245</v>
      </c>
      <c r="N147" s="30" t="s">
        <v>245</v>
      </c>
      <c r="O147" s="30" t="s">
        <v>245</v>
      </c>
      <c r="P147" s="30" t="s">
        <v>245</v>
      </c>
      <c r="Q147" s="30" t="s">
        <v>245</v>
      </c>
      <c r="R147" s="30" t="s">
        <v>245</v>
      </c>
      <c r="S147" s="30" t="s">
        <v>245</v>
      </c>
      <c r="T147" s="30" t="s">
        <v>245</v>
      </c>
      <c r="U147" s="30" t="s">
        <v>245</v>
      </c>
      <c r="V147" s="30" t="s">
        <v>245</v>
      </c>
      <c r="W147" s="30" t="s">
        <v>245</v>
      </c>
      <c r="X147" s="30" t="s">
        <v>245</v>
      </c>
      <c r="Y147" s="30" t="s">
        <v>245</v>
      </c>
      <c r="Z147" s="30" t="s">
        <v>245</v>
      </c>
      <c r="AA147" s="30" t="s">
        <v>245</v>
      </c>
      <c r="AB147" s="30" t="s">
        <v>245</v>
      </c>
      <c r="AC147" s="30" t="s">
        <v>245</v>
      </c>
      <c r="AD147" s="30" t="s">
        <v>245</v>
      </c>
      <c r="AE147" s="30" t="s">
        <v>245</v>
      </c>
      <c r="AF147" s="30" t="s">
        <v>245</v>
      </c>
      <c r="AG147" s="30" t="s">
        <v>245</v>
      </c>
      <c r="AH147" s="30" t="s">
        <v>245</v>
      </c>
      <c r="AI147" s="30" t="s">
        <v>245</v>
      </c>
      <c r="AJ147" s="30" t="s">
        <v>245</v>
      </c>
      <c r="AK147" s="30" t="s">
        <v>245</v>
      </c>
      <c r="AL147" s="30" t="s">
        <v>245</v>
      </c>
      <c r="AM147" s="30" t="s">
        <v>245</v>
      </c>
      <c r="AN147" s="30" t="s">
        <v>245</v>
      </c>
      <c r="AO147" s="30" t="s">
        <v>878</v>
      </c>
      <c r="AP147" s="30" t="s">
        <v>245</v>
      </c>
      <c r="AQ147" s="30" t="s">
        <v>245</v>
      </c>
      <c r="AR147" s="30" t="s">
        <v>245</v>
      </c>
      <c r="AS147" s="30" t="s">
        <v>245</v>
      </c>
      <c r="AT147" s="30" t="s">
        <v>481</v>
      </c>
      <c r="AU147" s="30">
        <v>1997</v>
      </c>
      <c r="AV147" s="30">
        <v>24</v>
      </c>
      <c r="AW147" s="30">
        <v>4</v>
      </c>
      <c r="AX147" s="30" t="s">
        <v>245</v>
      </c>
      <c r="AY147" s="30" t="s">
        <v>245</v>
      </c>
      <c r="AZ147" s="30" t="s">
        <v>245</v>
      </c>
      <c r="BA147" s="30" t="s">
        <v>245</v>
      </c>
      <c r="BB147" s="30">
        <v>311</v>
      </c>
      <c r="BC147" s="30">
        <v>320</v>
      </c>
      <c r="BD147" s="30" t="s">
        <v>245</v>
      </c>
      <c r="BE147" s="30" t="s">
        <v>1433</v>
      </c>
      <c r="BF147" s="30" t="str">
        <f>HYPERLINK("http://dx.doi.org/10.1016/S0168-6496(97)00072-X","http://dx.doi.org/10.1016/S0168-6496(97)00072-X")</f>
        <v>http://dx.doi.org/10.1016/S0168-6496(97)00072-X</v>
      </c>
      <c r="BG147" s="30" t="s">
        <v>245</v>
      </c>
      <c r="BH147" s="30" t="s">
        <v>245</v>
      </c>
      <c r="BI147" s="30" t="s">
        <v>245</v>
      </c>
      <c r="BJ147" s="30" t="s">
        <v>245</v>
      </c>
      <c r="BK147" s="30" t="s">
        <v>245</v>
      </c>
      <c r="BL147" s="30" t="s">
        <v>245</v>
      </c>
      <c r="BM147" s="30" t="s">
        <v>245</v>
      </c>
      <c r="BN147" s="30" t="s">
        <v>245</v>
      </c>
      <c r="BO147" s="30" t="s">
        <v>245</v>
      </c>
      <c r="BP147" s="30" t="s">
        <v>245</v>
      </c>
      <c r="BQ147" s="30" t="s">
        <v>245</v>
      </c>
      <c r="BR147" s="30" t="s">
        <v>245</v>
      </c>
      <c r="BS147" s="30" t="s">
        <v>1434</v>
      </c>
      <c r="BT147" s="30" t="str">
        <f>HYPERLINK("https%3A%2F%2Fwww.webofscience.com%2Fwos%2Fwoscc%2Ffull-record%2FWOS:000071142700003","View Full Record in Web of Science")</f>
        <v>View Full Record in Web of Science</v>
      </c>
    </row>
    <row r="148" spans="1:72" x14ac:dyDescent="0.2">
      <c r="A148" s="30" t="s">
        <v>243</v>
      </c>
      <c r="B148" s="30" t="s">
        <v>1435</v>
      </c>
      <c r="C148" s="30" t="s">
        <v>245</v>
      </c>
      <c r="D148" s="30" t="s">
        <v>245</v>
      </c>
      <c r="E148" s="30" t="s">
        <v>245</v>
      </c>
      <c r="F148" s="30" t="s">
        <v>1436</v>
      </c>
      <c r="G148" s="30" t="s">
        <v>245</v>
      </c>
      <c r="H148" s="30" t="s">
        <v>245</v>
      </c>
      <c r="I148" s="30" t="s">
        <v>1437</v>
      </c>
      <c r="J148" s="30" t="s">
        <v>1122</v>
      </c>
      <c r="K148" s="30" t="s">
        <v>245</v>
      </c>
      <c r="L148" s="30" t="s">
        <v>245</v>
      </c>
      <c r="M148" s="30" t="s">
        <v>245</v>
      </c>
      <c r="N148" s="30" t="s">
        <v>245</v>
      </c>
      <c r="O148" s="30" t="s">
        <v>245</v>
      </c>
      <c r="P148" s="30" t="s">
        <v>245</v>
      </c>
      <c r="Q148" s="30" t="s">
        <v>245</v>
      </c>
      <c r="R148" s="30" t="s">
        <v>245</v>
      </c>
      <c r="S148" s="30" t="s">
        <v>245</v>
      </c>
      <c r="T148" s="30" t="s">
        <v>245</v>
      </c>
      <c r="U148" s="30" t="s">
        <v>245</v>
      </c>
      <c r="V148" s="30" t="s">
        <v>245</v>
      </c>
      <c r="W148" s="30" t="s">
        <v>245</v>
      </c>
      <c r="X148" s="30" t="s">
        <v>245</v>
      </c>
      <c r="Y148" s="30" t="s">
        <v>245</v>
      </c>
      <c r="Z148" s="30" t="s">
        <v>245</v>
      </c>
      <c r="AA148" s="30" t="s">
        <v>1438</v>
      </c>
      <c r="AB148" s="30" t="s">
        <v>1439</v>
      </c>
      <c r="AC148" s="30" t="s">
        <v>245</v>
      </c>
      <c r="AD148" s="30" t="s">
        <v>245</v>
      </c>
      <c r="AE148" s="30" t="s">
        <v>245</v>
      </c>
      <c r="AF148" s="30" t="s">
        <v>245</v>
      </c>
      <c r="AG148" s="30" t="s">
        <v>245</v>
      </c>
      <c r="AH148" s="30" t="s">
        <v>245</v>
      </c>
      <c r="AI148" s="30" t="s">
        <v>245</v>
      </c>
      <c r="AJ148" s="30" t="s">
        <v>245</v>
      </c>
      <c r="AK148" s="30" t="s">
        <v>245</v>
      </c>
      <c r="AL148" s="30" t="s">
        <v>245</v>
      </c>
      <c r="AM148" s="30" t="s">
        <v>245</v>
      </c>
      <c r="AN148" s="30" t="s">
        <v>245</v>
      </c>
      <c r="AO148" s="30" t="s">
        <v>245</v>
      </c>
      <c r="AP148" s="30" t="s">
        <v>1125</v>
      </c>
      <c r="AQ148" s="30" t="s">
        <v>245</v>
      </c>
      <c r="AR148" s="30" t="s">
        <v>245</v>
      </c>
      <c r="AS148" s="30" t="s">
        <v>245</v>
      </c>
      <c r="AT148" s="30" t="s">
        <v>487</v>
      </c>
      <c r="AU148" s="30">
        <v>2021</v>
      </c>
      <c r="AV148" s="30">
        <v>11</v>
      </c>
      <c r="AW148" s="30">
        <v>3</v>
      </c>
      <c r="AX148" s="30" t="s">
        <v>245</v>
      </c>
      <c r="AY148" s="30" t="s">
        <v>245</v>
      </c>
      <c r="AZ148" s="30" t="s">
        <v>245</v>
      </c>
      <c r="BA148" s="30" t="s">
        <v>245</v>
      </c>
      <c r="BB148" s="30" t="s">
        <v>245</v>
      </c>
      <c r="BC148" s="30" t="s">
        <v>245</v>
      </c>
      <c r="BD148" s="30">
        <v>448</v>
      </c>
      <c r="BE148" s="30" t="s">
        <v>1440</v>
      </c>
      <c r="BF148" s="30" t="str">
        <f>HYPERLINK("http://dx.doi.org/10.3390/agronomy11030448","http://dx.doi.org/10.3390/agronomy11030448")</f>
        <v>http://dx.doi.org/10.3390/agronomy11030448</v>
      </c>
      <c r="BG148" s="30" t="s">
        <v>245</v>
      </c>
      <c r="BH148" s="30" t="s">
        <v>245</v>
      </c>
      <c r="BI148" s="30" t="s">
        <v>245</v>
      </c>
      <c r="BJ148" s="30" t="s">
        <v>245</v>
      </c>
      <c r="BK148" s="30" t="s">
        <v>245</v>
      </c>
      <c r="BL148" s="30" t="s">
        <v>245</v>
      </c>
      <c r="BM148" s="30" t="s">
        <v>245</v>
      </c>
      <c r="BN148" s="30" t="s">
        <v>245</v>
      </c>
      <c r="BO148" s="30" t="s">
        <v>245</v>
      </c>
      <c r="BP148" s="30" t="s">
        <v>245</v>
      </c>
      <c r="BQ148" s="30" t="s">
        <v>245</v>
      </c>
      <c r="BR148" s="30" t="s">
        <v>245</v>
      </c>
      <c r="BS148" s="30" t="s">
        <v>1441</v>
      </c>
      <c r="BT148" s="30" t="str">
        <f>HYPERLINK("https%3A%2F%2Fwww.webofscience.com%2Fwos%2Fwoscc%2Ffull-record%2FWOS:000633174400001","View Full Record in Web of Science")</f>
        <v>View Full Record in Web of Science</v>
      </c>
    </row>
    <row r="149" spans="1:72" x14ac:dyDescent="0.2">
      <c r="A149" s="30" t="s">
        <v>243</v>
      </c>
      <c r="B149" s="30" t="s">
        <v>1133</v>
      </c>
      <c r="C149" s="30" t="s">
        <v>245</v>
      </c>
      <c r="D149" s="30" t="s">
        <v>245</v>
      </c>
      <c r="E149" s="30" t="s">
        <v>245</v>
      </c>
      <c r="F149" s="30" t="s">
        <v>1134</v>
      </c>
      <c r="G149" s="30" t="s">
        <v>245</v>
      </c>
      <c r="H149" s="30" t="s">
        <v>245</v>
      </c>
      <c r="I149" s="30" t="s">
        <v>1442</v>
      </c>
      <c r="J149" s="30" t="s">
        <v>541</v>
      </c>
      <c r="K149" s="30" t="s">
        <v>245</v>
      </c>
      <c r="L149" s="30" t="s">
        <v>245</v>
      </c>
      <c r="M149" s="30" t="s">
        <v>245</v>
      </c>
      <c r="N149" s="30" t="s">
        <v>245</v>
      </c>
      <c r="O149" s="30" t="s">
        <v>245</v>
      </c>
      <c r="P149" s="30" t="s">
        <v>245</v>
      </c>
      <c r="Q149" s="30" t="s">
        <v>245</v>
      </c>
      <c r="R149" s="30" t="s">
        <v>245</v>
      </c>
      <c r="S149" s="30" t="s">
        <v>245</v>
      </c>
      <c r="T149" s="30" t="s">
        <v>245</v>
      </c>
      <c r="U149" s="30" t="s">
        <v>245</v>
      </c>
      <c r="V149" s="30" t="s">
        <v>245</v>
      </c>
      <c r="W149" s="30" t="s">
        <v>245</v>
      </c>
      <c r="X149" s="30" t="s">
        <v>245</v>
      </c>
      <c r="Y149" s="30" t="s">
        <v>245</v>
      </c>
      <c r="Z149" s="30" t="s">
        <v>245</v>
      </c>
      <c r="AA149" s="30" t="s">
        <v>245</v>
      </c>
      <c r="AB149" s="30" t="s">
        <v>245</v>
      </c>
      <c r="AC149" s="30" t="s">
        <v>245</v>
      </c>
      <c r="AD149" s="30" t="s">
        <v>245</v>
      </c>
      <c r="AE149" s="30" t="s">
        <v>245</v>
      </c>
      <c r="AF149" s="30" t="s">
        <v>245</v>
      </c>
      <c r="AG149" s="30" t="s">
        <v>245</v>
      </c>
      <c r="AH149" s="30" t="s">
        <v>245</v>
      </c>
      <c r="AI149" s="30" t="s">
        <v>245</v>
      </c>
      <c r="AJ149" s="30" t="s">
        <v>245</v>
      </c>
      <c r="AK149" s="30" t="s">
        <v>245</v>
      </c>
      <c r="AL149" s="30" t="s">
        <v>245</v>
      </c>
      <c r="AM149" s="30" t="s">
        <v>245</v>
      </c>
      <c r="AN149" s="30" t="s">
        <v>245</v>
      </c>
      <c r="AO149" s="30" t="s">
        <v>544</v>
      </c>
      <c r="AP149" s="30" t="s">
        <v>245</v>
      </c>
      <c r="AQ149" s="30" t="s">
        <v>245</v>
      </c>
      <c r="AR149" s="30" t="s">
        <v>245</v>
      </c>
      <c r="AS149" s="30" t="s">
        <v>245</v>
      </c>
      <c r="AT149" s="30" t="s">
        <v>635</v>
      </c>
      <c r="AU149" s="30">
        <v>2012</v>
      </c>
      <c r="AV149" s="30">
        <v>160</v>
      </c>
      <c r="AW149" s="30" t="s">
        <v>245</v>
      </c>
      <c r="AX149" s="30" t="s">
        <v>245</v>
      </c>
      <c r="AY149" s="30" t="s">
        <v>245</v>
      </c>
      <c r="AZ149" s="30" t="s">
        <v>298</v>
      </c>
      <c r="BA149" s="30" t="s">
        <v>245</v>
      </c>
      <c r="BB149" s="30">
        <v>40</v>
      </c>
      <c r="BC149" s="30">
        <v>50</v>
      </c>
      <c r="BD149" s="30" t="s">
        <v>245</v>
      </c>
      <c r="BE149" s="30" t="s">
        <v>1443</v>
      </c>
      <c r="BF149" s="30" t="str">
        <f>HYPERLINK("http://dx.doi.org/10.1016/j.agee.2011.07.018","http://dx.doi.org/10.1016/j.agee.2011.07.018")</f>
        <v>http://dx.doi.org/10.1016/j.agee.2011.07.018</v>
      </c>
      <c r="BG149" s="30" t="s">
        <v>245</v>
      </c>
      <c r="BH149" s="30" t="s">
        <v>245</v>
      </c>
      <c r="BI149" s="30" t="s">
        <v>245</v>
      </c>
      <c r="BJ149" s="30" t="s">
        <v>245</v>
      </c>
      <c r="BK149" s="30" t="s">
        <v>245</v>
      </c>
      <c r="BL149" s="30" t="s">
        <v>245</v>
      </c>
      <c r="BM149" s="30" t="s">
        <v>245</v>
      </c>
      <c r="BN149" s="30" t="s">
        <v>245</v>
      </c>
      <c r="BO149" s="30" t="s">
        <v>245</v>
      </c>
      <c r="BP149" s="30" t="s">
        <v>245</v>
      </c>
      <c r="BQ149" s="30" t="s">
        <v>245</v>
      </c>
      <c r="BR149" s="30" t="s">
        <v>245</v>
      </c>
      <c r="BS149" s="30" t="s">
        <v>1444</v>
      </c>
      <c r="BT149" s="30" t="str">
        <f>HYPERLINK("https%3A%2F%2Fwww.webofscience.com%2Fwos%2Fwoscc%2Ffull-record%2FWOS:000309433300006","View Full Record in Web of Science")</f>
        <v>View Full Record in Web of Science</v>
      </c>
    </row>
    <row r="150" spans="1:72" x14ac:dyDescent="0.2">
      <c r="A150" s="30" t="s">
        <v>243</v>
      </c>
      <c r="B150" s="30" t="s">
        <v>1445</v>
      </c>
      <c r="C150" s="30" t="s">
        <v>245</v>
      </c>
      <c r="D150" s="30" t="s">
        <v>245</v>
      </c>
      <c r="E150" s="30" t="s">
        <v>245</v>
      </c>
      <c r="F150" s="30" t="s">
        <v>1446</v>
      </c>
      <c r="G150" s="30" t="s">
        <v>245</v>
      </c>
      <c r="H150" s="30" t="s">
        <v>245</v>
      </c>
      <c r="I150" s="30" t="s">
        <v>1447</v>
      </c>
      <c r="J150" s="30" t="s">
        <v>1122</v>
      </c>
      <c r="K150" s="30" t="s">
        <v>245</v>
      </c>
      <c r="L150" s="30" t="s">
        <v>245</v>
      </c>
      <c r="M150" s="30" t="s">
        <v>245</v>
      </c>
      <c r="N150" s="30" t="s">
        <v>245</v>
      </c>
      <c r="O150" s="30" t="s">
        <v>245</v>
      </c>
      <c r="P150" s="30" t="s">
        <v>245</v>
      </c>
      <c r="Q150" s="30" t="s">
        <v>245</v>
      </c>
      <c r="R150" s="30" t="s">
        <v>245</v>
      </c>
      <c r="S150" s="30" t="s">
        <v>245</v>
      </c>
      <c r="T150" s="30" t="s">
        <v>245</v>
      </c>
      <c r="U150" s="30" t="s">
        <v>245</v>
      </c>
      <c r="V150" s="30" t="s">
        <v>245</v>
      </c>
      <c r="W150" s="30" t="s">
        <v>245</v>
      </c>
      <c r="X150" s="30" t="s">
        <v>245</v>
      </c>
      <c r="Y150" s="30" t="s">
        <v>245</v>
      </c>
      <c r="Z150" s="30" t="s">
        <v>245</v>
      </c>
      <c r="AA150" s="30" t="s">
        <v>731</v>
      </c>
      <c r="AB150" s="30" t="s">
        <v>1448</v>
      </c>
      <c r="AC150" s="30" t="s">
        <v>245</v>
      </c>
      <c r="AD150" s="30" t="s">
        <v>245</v>
      </c>
      <c r="AE150" s="30" t="s">
        <v>245</v>
      </c>
      <c r="AF150" s="30" t="s">
        <v>245</v>
      </c>
      <c r="AG150" s="30" t="s">
        <v>245</v>
      </c>
      <c r="AH150" s="30" t="s">
        <v>245</v>
      </c>
      <c r="AI150" s="30" t="s">
        <v>245</v>
      </c>
      <c r="AJ150" s="30" t="s">
        <v>245</v>
      </c>
      <c r="AK150" s="30" t="s">
        <v>245</v>
      </c>
      <c r="AL150" s="30" t="s">
        <v>245</v>
      </c>
      <c r="AM150" s="30" t="s">
        <v>245</v>
      </c>
      <c r="AN150" s="30" t="s">
        <v>245</v>
      </c>
      <c r="AO150" s="30" t="s">
        <v>245</v>
      </c>
      <c r="AP150" s="30" t="s">
        <v>1125</v>
      </c>
      <c r="AQ150" s="30" t="s">
        <v>245</v>
      </c>
      <c r="AR150" s="30" t="s">
        <v>245</v>
      </c>
      <c r="AS150" s="30" t="s">
        <v>245</v>
      </c>
      <c r="AT150" s="30" t="s">
        <v>646</v>
      </c>
      <c r="AU150" s="30">
        <v>2021</v>
      </c>
      <c r="AV150" s="30">
        <v>11</v>
      </c>
      <c r="AW150" s="30">
        <v>7</v>
      </c>
      <c r="AX150" s="30" t="s">
        <v>245</v>
      </c>
      <c r="AY150" s="30" t="s">
        <v>245</v>
      </c>
      <c r="AZ150" s="30" t="s">
        <v>245</v>
      </c>
      <c r="BA150" s="30" t="s">
        <v>245</v>
      </c>
      <c r="BB150" s="30" t="s">
        <v>245</v>
      </c>
      <c r="BC150" s="30" t="s">
        <v>245</v>
      </c>
      <c r="BD150" s="30">
        <v>1334</v>
      </c>
      <c r="BE150" s="30" t="s">
        <v>1449</v>
      </c>
      <c r="BF150" s="30" t="str">
        <f>HYPERLINK("http://dx.doi.org/10.3390/agronomy11071334","http://dx.doi.org/10.3390/agronomy11071334")</f>
        <v>http://dx.doi.org/10.3390/agronomy11071334</v>
      </c>
      <c r="BG150" s="30" t="s">
        <v>245</v>
      </c>
      <c r="BH150" s="30" t="s">
        <v>245</v>
      </c>
      <c r="BI150" s="30" t="s">
        <v>245</v>
      </c>
      <c r="BJ150" s="30" t="s">
        <v>245</v>
      </c>
      <c r="BK150" s="30" t="s">
        <v>245</v>
      </c>
      <c r="BL150" s="30" t="s">
        <v>245</v>
      </c>
      <c r="BM150" s="30" t="s">
        <v>245</v>
      </c>
      <c r="BN150" s="30" t="s">
        <v>245</v>
      </c>
      <c r="BO150" s="30" t="s">
        <v>245</v>
      </c>
      <c r="BP150" s="30" t="s">
        <v>245</v>
      </c>
      <c r="BQ150" s="30" t="s">
        <v>245</v>
      </c>
      <c r="BR150" s="30" t="s">
        <v>245</v>
      </c>
      <c r="BS150" s="30" t="s">
        <v>1450</v>
      </c>
      <c r="BT150" s="30" t="str">
        <f>HYPERLINK("https%3A%2F%2Fwww.webofscience.com%2Fwos%2Fwoscc%2Ffull-record%2FWOS:000675930000001","View Full Record in Web of Science")</f>
        <v>View Full Record in Web of Science</v>
      </c>
    </row>
    <row r="151" spans="1:72" x14ac:dyDescent="0.2">
      <c r="A151" s="30" t="s">
        <v>243</v>
      </c>
      <c r="B151" s="30" t="s">
        <v>1451</v>
      </c>
      <c r="C151" s="30" t="s">
        <v>245</v>
      </c>
      <c r="D151" s="30" t="s">
        <v>245</v>
      </c>
      <c r="E151" s="30" t="s">
        <v>245</v>
      </c>
      <c r="F151" s="30" t="s">
        <v>1452</v>
      </c>
      <c r="G151" s="30" t="s">
        <v>245</v>
      </c>
      <c r="H151" s="30" t="s">
        <v>245</v>
      </c>
      <c r="I151" s="30" t="s">
        <v>1453</v>
      </c>
      <c r="J151" s="30" t="s">
        <v>282</v>
      </c>
      <c r="K151" s="30" t="s">
        <v>245</v>
      </c>
      <c r="L151" s="30" t="s">
        <v>245</v>
      </c>
      <c r="M151" s="30" t="s">
        <v>245</v>
      </c>
      <c r="N151" s="30" t="s">
        <v>245</v>
      </c>
      <c r="O151" s="30" t="s">
        <v>245</v>
      </c>
      <c r="P151" s="30" t="s">
        <v>245</v>
      </c>
      <c r="Q151" s="30" t="s">
        <v>245</v>
      </c>
      <c r="R151" s="30" t="s">
        <v>245</v>
      </c>
      <c r="S151" s="30" t="s">
        <v>245</v>
      </c>
      <c r="T151" s="30" t="s">
        <v>245</v>
      </c>
      <c r="U151" s="30" t="s">
        <v>245</v>
      </c>
      <c r="V151" s="30" t="s">
        <v>245</v>
      </c>
      <c r="W151" s="30" t="s">
        <v>245</v>
      </c>
      <c r="X151" s="30" t="s">
        <v>245</v>
      </c>
      <c r="Y151" s="30" t="s">
        <v>245</v>
      </c>
      <c r="Z151" s="30" t="s">
        <v>245</v>
      </c>
      <c r="AA151" s="30" t="s">
        <v>1454</v>
      </c>
      <c r="AB151" s="30" t="s">
        <v>1455</v>
      </c>
      <c r="AC151" s="30" t="s">
        <v>245</v>
      </c>
      <c r="AD151" s="30" t="s">
        <v>245</v>
      </c>
      <c r="AE151" s="30" t="s">
        <v>245</v>
      </c>
      <c r="AF151" s="30" t="s">
        <v>245</v>
      </c>
      <c r="AG151" s="30" t="s">
        <v>245</v>
      </c>
      <c r="AH151" s="30" t="s">
        <v>245</v>
      </c>
      <c r="AI151" s="30" t="s">
        <v>245</v>
      </c>
      <c r="AJ151" s="30" t="s">
        <v>245</v>
      </c>
      <c r="AK151" s="30" t="s">
        <v>245</v>
      </c>
      <c r="AL151" s="30" t="s">
        <v>245</v>
      </c>
      <c r="AM151" s="30" t="s">
        <v>245</v>
      </c>
      <c r="AN151" s="30" t="s">
        <v>245</v>
      </c>
      <c r="AO151" s="30" t="s">
        <v>285</v>
      </c>
      <c r="AP151" s="30" t="s">
        <v>370</v>
      </c>
      <c r="AQ151" s="30" t="s">
        <v>245</v>
      </c>
      <c r="AR151" s="30" t="s">
        <v>245</v>
      </c>
      <c r="AS151" s="30" t="s">
        <v>245</v>
      </c>
      <c r="AT151" s="30" t="s">
        <v>297</v>
      </c>
      <c r="AU151" s="30">
        <v>2020</v>
      </c>
      <c r="AV151" s="30">
        <v>149</v>
      </c>
      <c r="AW151" s="30" t="s">
        <v>245</v>
      </c>
      <c r="AX151" s="30" t="s">
        <v>245</v>
      </c>
      <c r="AY151" s="30" t="s">
        <v>245</v>
      </c>
      <c r="AZ151" s="30" t="s">
        <v>245</v>
      </c>
      <c r="BA151" s="30" t="s">
        <v>245</v>
      </c>
      <c r="BB151" s="30" t="s">
        <v>245</v>
      </c>
      <c r="BC151" s="30" t="s">
        <v>245</v>
      </c>
      <c r="BD151" s="30">
        <v>107862</v>
      </c>
      <c r="BE151" s="30" t="s">
        <v>1456</v>
      </c>
      <c r="BF151" s="30" t="str">
        <f>HYPERLINK("http://dx.doi.org/10.1016/j.soilbio.2020.107862","http://dx.doi.org/10.1016/j.soilbio.2020.107862")</f>
        <v>http://dx.doi.org/10.1016/j.soilbio.2020.107862</v>
      </c>
      <c r="BG151" s="30" t="s">
        <v>245</v>
      </c>
      <c r="BH151" s="30" t="s">
        <v>245</v>
      </c>
      <c r="BI151" s="30" t="s">
        <v>245</v>
      </c>
      <c r="BJ151" s="30" t="s">
        <v>245</v>
      </c>
      <c r="BK151" s="30" t="s">
        <v>245</v>
      </c>
      <c r="BL151" s="30" t="s">
        <v>245</v>
      </c>
      <c r="BM151" s="30" t="s">
        <v>245</v>
      </c>
      <c r="BN151" s="30" t="s">
        <v>245</v>
      </c>
      <c r="BO151" s="30" t="s">
        <v>245</v>
      </c>
      <c r="BP151" s="30" t="s">
        <v>245</v>
      </c>
      <c r="BQ151" s="30" t="s">
        <v>245</v>
      </c>
      <c r="BR151" s="30" t="s">
        <v>245</v>
      </c>
      <c r="BS151" s="30" t="s">
        <v>1457</v>
      </c>
      <c r="BT151" s="30" t="str">
        <f>HYPERLINK("https%3A%2F%2Fwww.webofscience.com%2Fwos%2Fwoscc%2Ffull-record%2FWOS:000567094800001","View Full Record in Web of Science")</f>
        <v>View Full Record in Web of Science</v>
      </c>
    </row>
    <row r="152" spans="1:72" x14ac:dyDescent="0.2">
      <c r="A152" s="30" t="s">
        <v>243</v>
      </c>
      <c r="B152" s="30" t="s">
        <v>1458</v>
      </c>
      <c r="C152" s="30" t="s">
        <v>245</v>
      </c>
      <c r="D152" s="30" t="s">
        <v>245</v>
      </c>
      <c r="E152" s="30" t="s">
        <v>245</v>
      </c>
      <c r="F152" s="30" t="s">
        <v>1459</v>
      </c>
      <c r="G152" s="30" t="s">
        <v>245</v>
      </c>
      <c r="H152" s="30" t="s">
        <v>245</v>
      </c>
      <c r="I152" s="30" t="s">
        <v>1460</v>
      </c>
      <c r="J152" s="30" t="s">
        <v>641</v>
      </c>
      <c r="K152" s="30" t="s">
        <v>245</v>
      </c>
      <c r="L152" s="30" t="s">
        <v>245</v>
      </c>
      <c r="M152" s="30" t="s">
        <v>245</v>
      </c>
      <c r="N152" s="30" t="s">
        <v>245</v>
      </c>
      <c r="O152" s="30" t="s">
        <v>245</v>
      </c>
      <c r="P152" s="30" t="s">
        <v>245</v>
      </c>
      <c r="Q152" s="30" t="s">
        <v>245</v>
      </c>
      <c r="R152" s="30" t="s">
        <v>245</v>
      </c>
      <c r="S152" s="30" t="s">
        <v>245</v>
      </c>
      <c r="T152" s="30" t="s">
        <v>245</v>
      </c>
      <c r="U152" s="30" t="s">
        <v>245</v>
      </c>
      <c r="V152" s="30" t="s">
        <v>245</v>
      </c>
      <c r="W152" s="30" t="s">
        <v>245</v>
      </c>
      <c r="X152" s="30" t="s">
        <v>245</v>
      </c>
      <c r="Y152" s="30" t="s">
        <v>245</v>
      </c>
      <c r="Z152" s="30" t="s">
        <v>245</v>
      </c>
      <c r="AA152" s="30" t="s">
        <v>1461</v>
      </c>
      <c r="AB152" s="30" t="s">
        <v>1462</v>
      </c>
      <c r="AC152" s="30" t="s">
        <v>245</v>
      </c>
      <c r="AD152" s="30" t="s">
        <v>245</v>
      </c>
      <c r="AE152" s="30" t="s">
        <v>245</v>
      </c>
      <c r="AF152" s="30" t="s">
        <v>245</v>
      </c>
      <c r="AG152" s="30" t="s">
        <v>245</v>
      </c>
      <c r="AH152" s="30" t="s">
        <v>245</v>
      </c>
      <c r="AI152" s="30" t="s">
        <v>245</v>
      </c>
      <c r="AJ152" s="30" t="s">
        <v>245</v>
      </c>
      <c r="AK152" s="30" t="s">
        <v>245</v>
      </c>
      <c r="AL152" s="30" t="s">
        <v>245</v>
      </c>
      <c r="AM152" s="30" t="s">
        <v>245</v>
      </c>
      <c r="AN152" s="30" t="s">
        <v>245</v>
      </c>
      <c r="AO152" s="30" t="s">
        <v>644</v>
      </c>
      <c r="AP152" s="30" t="s">
        <v>645</v>
      </c>
      <c r="AQ152" s="30" t="s">
        <v>245</v>
      </c>
      <c r="AR152" s="30" t="s">
        <v>245</v>
      </c>
      <c r="AS152" s="30" t="s">
        <v>245</v>
      </c>
      <c r="AT152" s="30" t="s">
        <v>1463</v>
      </c>
      <c r="AU152" s="30">
        <v>2015</v>
      </c>
      <c r="AV152" s="30">
        <v>44</v>
      </c>
      <c r="AW152" s="30">
        <v>6</v>
      </c>
      <c r="AX152" s="30" t="s">
        <v>245</v>
      </c>
      <c r="AY152" s="30" t="s">
        <v>245</v>
      </c>
      <c r="AZ152" s="30" t="s">
        <v>245</v>
      </c>
      <c r="BA152" s="30" t="s">
        <v>245</v>
      </c>
      <c r="BB152" s="30">
        <v>1699</v>
      </c>
      <c r="BC152" s="30">
        <v>1710</v>
      </c>
      <c r="BD152" s="30" t="s">
        <v>245</v>
      </c>
      <c r="BE152" s="30" t="s">
        <v>1464</v>
      </c>
      <c r="BF152" s="30" t="str">
        <f>HYPERLINK("http://dx.doi.org/10.2134/jeq2015.01.0036","http://dx.doi.org/10.2134/jeq2015.01.0036")</f>
        <v>http://dx.doi.org/10.2134/jeq2015.01.0036</v>
      </c>
      <c r="BG152" s="30" t="s">
        <v>245</v>
      </c>
      <c r="BH152" s="30" t="s">
        <v>245</v>
      </c>
      <c r="BI152" s="30" t="s">
        <v>245</v>
      </c>
      <c r="BJ152" s="30" t="s">
        <v>245</v>
      </c>
      <c r="BK152" s="30" t="s">
        <v>245</v>
      </c>
      <c r="BL152" s="30" t="s">
        <v>245</v>
      </c>
      <c r="BM152" s="30" t="s">
        <v>245</v>
      </c>
      <c r="BN152" s="30">
        <v>26641321</v>
      </c>
      <c r="BO152" s="30" t="s">
        <v>245</v>
      </c>
      <c r="BP152" s="30" t="s">
        <v>245</v>
      </c>
      <c r="BQ152" s="30" t="s">
        <v>245</v>
      </c>
      <c r="BR152" s="30" t="s">
        <v>245</v>
      </c>
      <c r="BS152" s="30" t="s">
        <v>1465</v>
      </c>
      <c r="BT152" s="30" t="str">
        <f>HYPERLINK("https%3A%2F%2Fwww.webofscience.com%2Fwos%2Fwoscc%2Ffull-record%2FWOS:000364912300001","View Full Record in Web of Science")</f>
        <v>View Full Record in Web of Science</v>
      </c>
    </row>
    <row r="153" spans="1:72" x14ac:dyDescent="0.2">
      <c r="A153" s="30" t="s">
        <v>243</v>
      </c>
      <c r="B153" s="30" t="s">
        <v>1466</v>
      </c>
      <c r="C153" s="30" t="s">
        <v>245</v>
      </c>
      <c r="D153" s="30" t="s">
        <v>245</v>
      </c>
      <c r="E153" s="30" t="s">
        <v>245</v>
      </c>
      <c r="F153" s="30" t="s">
        <v>1466</v>
      </c>
      <c r="G153" s="30" t="s">
        <v>245</v>
      </c>
      <c r="H153" s="30" t="s">
        <v>245</v>
      </c>
      <c r="I153" s="30" t="s">
        <v>1467</v>
      </c>
      <c r="J153" s="30" t="s">
        <v>1015</v>
      </c>
      <c r="K153" s="30" t="s">
        <v>245</v>
      </c>
      <c r="L153" s="30" t="s">
        <v>245</v>
      </c>
      <c r="M153" s="30" t="s">
        <v>245</v>
      </c>
      <c r="N153" s="30" t="s">
        <v>245</v>
      </c>
      <c r="O153" s="30" t="s">
        <v>245</v>
      </c>
      <c r="P153" s="30" t="s">
        <v>245</v>
      </c>
      <c r="Q153" s="30" t="s">
        <v>245</v>
      </c>
      <c r="R153" s="30" t="s">
        <v>245</v>
      </c>
      <c r="S153" s="30" t="s">
        <v>245</v>
      </c>
      <c r="T153" s="30" t="s">
        <v>245</v>
      </c>
      <c r="U153" s="30" t="s">
        <v>245</v>
      </c>
      <c r="V153" s="30" t="s">
        <v>245</v>
      </c>
      <c r="W153" s="30" t="s">
        <v>245</v>
      </c>
      <c r="X153" s="30" t="s">
        <v>245</v>
      </c>
      <c r="Y153" s="30" t="s">
        <v>245</v>
      </c>
      <c r="Z153" s="30" t="s">
        <v>245</v>
      </c>
      <c r="AA153" s="30" t="s">
        <v>245</v>
      </c>
      <c r="AB153" s="30" t="s">
        <v>245</v>
      </c>
      <c r="AC153" s="30" t="s">
        <v>245</v>
      </c>
      <c r="AD153" s="30" t="s">
        <v>245</v>
      </c>
      <c r="AE153" s="30" t="s">
        <v>245</v>
      </c>
      <c r="AF153" s="30" t="s">
        <v>245</v>
      </c>
      <c r="AG153" s="30" t="s">
        <v>245</v>
      </c>
      <c r="AH153" s="30" t="s">
        <v>245</v>
      </c>
      <c r="AI153" s="30" t="s">
        <v>245</v>
      </c>
      <c r="AJ153" s="30" t="s">
        <v>245</v>
      </c>
      <c r="AK153" s="30" t="s">
        <v>245</v>
      </c>
      <c r="AL153" s="30" t="s">
        <v>245</v>
      </c>
      <c r="AM153" s="30" t="s">
        <v>245</v>
      </c>
      <c r="AN153" s="30" t="s">
        <v>245</v>
      </c>
      <c r="AO153" s="30" t="s">
        <v>1018</v>
      </c>
      <c r="AP153" s="30" t="s">
        <v>245</v>
      </c>
      <c r="AQ153" s="30" t="s">
        <v>245</v>
      </c>
      <c r="AR153" s="30" t="s">
        <v>245</v>
      </c>
      <c r="AS153" s="30" t="s">
        <v>245</v>
      </c>
      <c r="AT153" s="30" t="s">
        <v>550</v>
      </c>
      <c r="AU153" s="30">
        <v>1996</v>
      </c>
      <c r="AV153" s="30">
        <v>35</v>
      </c>
      <c r="AW153" s="30">
        <v>2</v>
      </c>
      <c r="AX153" s="30" t="s">
        <v>245</v>
      </c>
      <c r="AY153" s="30" t="s">
        <v>245</v>
      </c>
      <c r="AZ153" s="30" t="s">
        <v>245</v>
      </c>
      <c r="BA153" s="30" t="s">
        <v>245</v>
      </c>
      <c r="BB153" s="30">
        <v>305</v>
      </c>
      <c r="BC153" s="30">
        <v>326</v>
      </c>
      <c r="BD153" s="30" t="s">
        <v>245</v>
      </c>
      <c r="BE153" s="30" t="s">
        <v>1468</v>
      </c>
      <c r="BF153" s="30" t="str">
        <f>HYPERLINK("http://dx.doi.org/10.1007/BF02179957","http://dx.doi.org/10.1007/BF02179957")</f>
        <v>http://dx.doi.org/10.1007/BF02179957</v>
      </c>
      <c r="BG153" s="30" t="s">
        <v>245</v>
      </c>
      <c r="BH153" s="30" t="s">
        <v>245</v>
      </c>
      <c r="BI153" s="30" t="s">
        <v>245</v>
      </c>
      <c r="BJ153" s="30" t="s">
        <v>245</v>
      </c>
      <c r="BK153" s="30" t="s">
        <v>245</v>
      </c>
      <c r="BL153" s="30" t="s">
        <v>245</v>
      </c>
      <c r="BM153" s="30" t="s">
        <v>245</v>
      </c>
      <c r="BN153" s="30" t="s">
        <v>245</v>
      </c>
      <c r="BO153" s="30" t="s">
        <v>245</v>
      </c>
      <c r="BP153" s="30" t="s">
        <v>245</v>
      </c>
      <c r="BQ153" s="30" t="s">
        <v>245</v>
      </c>
      <c r="BR153" s="30" t="s">
        <v>245</v>
      </c>
      <c r="BS153" s="30" t="s">
        <v>1469</v>
      </c>
      <c r="BT153" s="30" t="str">
        <f>HYPERLINK("https%3A%2F%2Fwww.webofscience.com%2Fwos%2Fwoscc%2Ffull-record%2FWOS:A1996VW59400001","View Full Record in Web of Science")</f>
        <v>View Full Record in Web of Science</v>
      </c>
    </row>
    <row r="154" spans="1:72" x14ac:dyDescent="0.2">
      <c r="A154" s="30" t="s">
        <v>243</v>
      </c>
      <c r="B154" s="30" t="s">
        <v>1470</v>
      </c>
      <c r="C154" s="30" t="s">
        <v>245</v>
      </c>
      <c r="D154" s="30" t="s">
        <v>245</v>
      </c>
      <c r="E154" s="30" t="s">
        <v>245</v>
      </c>
      <c r="F154" s="30" t="s">
        <v>1471</v>
      </c>
      <c r="G154" s="30" t="s">
        <v>245</v>
      </c>
      <c r="H154" s="30" t="s">
        <v>245</v>
      </c>
      <c r="I154" s="30" t="s">
        <v>1472</v>
      </c>
      <c r="J154" s="30" t="s">
        <v>1473</v>
      </c>
      <c r="K154" s="30" t="s">
        <v>245</v>
      </c>
      <c r="L154" s="30" t="s">
        <v>245</v>
      </c>
      <c r="M154" s="30" t="s">
        <v>245</v>
      </c>
      <c r="N154" s="30" t="s">
        <v>245</v>
      </c>
      <c r="O154" s="30" t="s">
        <v>245</v>
      </c>
      <c r="P154" s="30" t="s">
        <v>245</v>
      </c>
      <c r="Q154" s="30" t="s">
        <v>245</v>
      </c>
      <c r="R154" s="30" t="s">
        <v>245</v>
      </c>
      <c r="S154" s="30" t="s">
        <v>245</v>
      </c>
      <c r="T154" s="30" t="s">
        <v>245</v>
      </c>
      <c r="U154" s="30" t="s">
        <v>245</v>
      </c>
      <c r="V154" s="30" t="s">
        <v>245</v>
      </c>
      <c r="W154" s="30" t="s">
        <v>245</v>
      </c>
      <c r="X154" s="30" t="s">
        <v>245</v>
      </c>
      <c r="Y154" s="30" t="s">
        <v>245</v>
      </c>
      <c r="Z154" s="30" t="s">
        <v>245</v>
      </c>
      <c r="AA154" s="30" t="s">
        <v>1474</v>
      </c>
      <c r="AB154" s="30" t="s">
        <v>1475</v>
      </c>
      <c r="AC154" s="30" t="s">
        <v>245</v>
      </c>
      <c r="AD154" s="30" t="s">
        <v>245</v>
      </c>
      <c r="AE154" s="30" t="s">
        <v>245</v>
      </c>
      <c r="AF154" s="30" t="s">
        <v>245</v>
      </c>
      <c r="AG154" s="30" t="s">
        <v>245</v>
      </c>
      <c r="AH154" s="30" t="s">
        <v>245</v>
      </c>
      <c r="AI154" s="30" t="s">
        <v>245</v>
      </c>
      <c r="AJ154" s="30" t="s">
        <v>245</v>
      </c>
      <c r="AK154" s="30" t="s">
        <v>245</v>
      </c>
      <c r="AL154" s="30" t="s">
        <v>245</v>
      </c>
      <c r="AM154" s="30" t="s">
        <v>245</v>
      </c>
      <c r="AN154" s="30" t="s">
        <v>245</v>
      </c>
      <c r="AO154" s="30" t="s">
        <v>1476</v>
      </c>
      <c r="AP154" s="30" t="s">
        <v>1477</v>
      </c>
      <c r="AQ154" s="30" t="s">
        <v>245</v>
      </c>
      <c r="AR154" s="30" t="s">
        <v>245</v>
      </c>
      <c r="AS154" s="30" t="s">
        <v>245</v>
      </c>
      <c r="AT154" s="30" t="s">
        <v>481</v>
      </c>
      <c r="AU154" s="30">
        <v>2017</v>
      </c>
      <c r="AV154" s="30">
        <v>46</v>
      </c>
      <c r="AW154" s="30">
        <v>4</v>
      </c>
      <c r="AX154" s="30" t="s">
        <v>245</v>
      </c>
      <c r="AY154" s="30" t="s">
        <v>245</v>
      </c>
      <c r="AZ154" s="30" t="s">
        <v>245</v>
      </c>
      <c r="BA154" s="30" t="s">
        <v>245</v>
      </c>
      <c r="BB154" s="30">
        <v>1415</v>
      </c>
      <c r="BC154" s="30">
        <v>1420</v>
      </c>
      <c r="BD154" s="30" t="s">
        <v>245</v>
      </c>
      <c r="BE154" s="30" t="s">
        <v>245</v>
      </c>
      <c r="BF154" s="30" t="s">
        <v>245</v>
      </c>
      <c r="BG154" s="30" t="s">
        <v>245</v>
      </c>
      <c r="BH154" s="30" t="s">
        <v>245</v>
      </c>
      <c r="BI154" s="30" t="s">
        <v>245</v>
      </c>
      <c r="BJ154" s="30" t="s">
        <v>245</v>
      </c>
      <c r="BK154" s="30" t="s">
        <v>245</v>
      </c>
      <c r="BL154" s="30" t="s">
        <v>245</v>
      </c>
      <c r="BM154" s="30" t="s">
        <v>245</v>
      </c>
      <c r="BN154" s="30" t="s">
        <v>245</v>
      </c>
      <c r="BO154" s="30" t="s">
        <v>245</v>
      </c>
      <c r="BP154" s="30" t="s">
        <v>245</v>
      </c>
      <c r="BQ154" s="30" t="s">
        <v>245</v>
      </c>
      <c r="BR154" s="30" t="s">
        <v>245</v>
      </c>
      <c r="BS154" s="30" t="s">
        <v>1478</v>
      </c>
      <c r="BT154" s="30" t="str">
        <f>HYPERLINK("https%3A%2F%2Fwww.webofscience.com%2Fwos%2Fwoscc%2Ffull-record%2FWOS:000422929500022","View Full Record in Web of Science")</f>
        <v>View Full Record in Web of Science</v>
      </c>
    </row>
    <row r="155" spans="1:72" x14ac:dyDescent="0.2">
      <c r="A155" s="30" t="s">
        <v>243</v>
      </c>
      <c r="B155" s="30" t="s">
        <v>1479</v>
      </c>
      <c r="C155" s="30" t="s">
        <v>245</v>
      </c>
      <c r="D155" s="30" t="s">
        <v>245</v>
      </c>
      <c r="E155" s="30" t="s">
        <v>245</v>
      </c>
      <c r="F155" s="30" t="s">
        <v>1480</v>
      </c>
      <c r="G155" s="30" t="s">
        <v>245</v>
      </c>
      <c r="H155" s="30" t="s">
        <v>245</v>
      </c>
      <c r="I155" s="30" t="s">
        <v>1481</v>
      </c>
      <c r="J155" s="30" t="s">
        <v>1482</v>
      </c>
      <c r="K155" s="30" t="s">
        <v>245</v>
      </c>
      <c r="L155" s="30" t="s">
        <v>245</v>
      </c>
      <c r="M155" s="30" t="s">
        <v>245</v>
      </c>
      <c r="N155" s="30" t="s">
        <v>245</v>
      </c>
      <c r="O155" s="30" t="s">
        <v>245</v>
      </c>
      <c r="P155" s="30" t="s">
        <v>245</v>
      </c>
      <c r="Q155" s="30" t="s">
        <v>245</v>
      </c>
      <c r="R155" s="30" t="s">
        <v>245</v>
      </c>
      <c r="S155" s="30" t="s">
        <v>245</v>
      </c>
      <c r="T155" s="30" t="s">
        <v>245</v>
      </c>
      <c r="U155" s="30" t="s">
        <v>245</v>
      </c>
      <c r="V155" s="30" t="s">
        <v>245</v>
      </c>
      <c r="W155" s="30" t="s">
        <v>245</v>
      </c>
      <c r="X155" s="30" t="s">
        <v>245</v>
      </c>
      <c r="Y155" s="30" t="s">
        <v>245</v>
      </c>
      <c r="Z155" s="30" t="s">
        <v>245</v>
      </c>
      <c r="AA155" s="30" t="s">
        <v>1483</v>
      </c>
      <c r="AB155" s="30" t="s">
        <v>245</v>
      </c>
      <c r="AC155" s="30" t="s">
        <v>245</v>
      </c>
      <c r="AD155" s="30" t="s">
        <v>245</v>
      </c>
      <c r="AE155" s="30" t="s">
        <v>245</v>
      </c>
      <c r="AF155" s="30" t="s">
        <v>245</v>
      </c>
      <c r="AG155" s="30" t="s">
        <v>245</v>
      </c>
      <c r="AH155" s="30" t="s">
        <v>245</v>
      </c>
      <c r="AI155" s="30" t="s">
        <v>245</v>
      </c>
      <c r="AJ155" s="30" t="s">
        <v>245</v>
      </c>
      <c r="AK155" s="30" t="s">
        <v>245</v>
      </c>
      <c r="AL155" s="30" t="s">
        <v>245</v>
      </c>
      <c r="AM155" s="30" t="s">
        <v>245</v>
      </c>
      <c r="AN155" s="30" t="s">
        <v>245</v>
      </c>
      <c r="AO155" s="30" t="s">
        <v>1484</v>
      </c>
      <c r="AP155" s="30" t="s">
        <v>1485</v>
      </c>
      <c r="AQ155" s="30" t="s">
        <v>245</v>
      </c>
      <c r="AR155" s="30" t="s">
        <v>245</v>
      </c>
      <c r="AS155" s="30" t="s">
        <v>245</v>
      </c>
      <c r="AT155" s="30" t="s">
        <v>487</v>
      </c>
      <c r="AU155" s="30">
        <v>2022</v>
      </c>
      <c r="AV155" s="30">
        <v>168</v>
      </c>
      <c r="AW155" s="30" t="s">
        <v>245</v>
      </c>
      <c r="AX155" s="30" t="s">
        <v>245</v>
      </c>
      <c r="AY155" s="30" t="s">
        <v>245</v>
      </c>
      <c r="AZ155" s="30" t="s">
        <v>245</v>
      </c>
      <c r="BA155" s="30" t="s">
        <v>245</v>
      </c>
      <c r="BB155" s="30" t="s">
        <v>245</v>
      </c>
      <c r="BC155" s="30" t="s">
        <v>245</v>
      </c>
      <c r="BD155" s="30">
        <v>105375</v>
      </c>
      <c r="BE155" s="30" t="s">
        <v>1486</v>
      </c>
      <c r="BF155" s="30" t="str">
        <f>HYPERLINK("http://dx.doi.org/10.1016/j.ibiod.2022.105375","http://dx.doi.org/10.1016/j.ibiod.2022.105375")</f>
        <v>http://dx.doi.org/10.1016/j.ibiod.2022.105375</v>
      </c>
      <c r="BG155" s="30" t="s">
        <v>245</v>
      </c>
      <c r="BH155" s="30" t="s">
        <v>1314</v>
      </c>
      <c r="BI155" s="30" t="s">
        <v>245</v>
      </c>
      <c r="BJ155" s="30" t="s">
        <v>245</v>
      </c>
      <c r="BK155" s="30" t="s">
        <v>245</v>
      </c>
      <c r="BL155" s="30" t="s">
        <v>245</v>
      </c>
      <c r="BM155" s="30" t="s">
        <v>245</v>
      </c>
      <c r="BN155" s="30" t="s">
        <v>245</v>
      </c>
      <c r="BO155" s="30" t="s">
        <v>245</v>
      </c>
      <c r="BP155" s="30" t="s">
        <v>245</v>
      </c>
      <c r="BQ155" s="30" t="s">
        <v>245</v>
      </c>
      <c r="BR155" s="30" t="s">
        <v>245</v>
      </c>
      <c r="BS155" s="30" t="s">
        <v>1487</v>
      </c>
      <c r="BT155" s="30" t="str">
        <f>HYPERLINK("https%3A%2F%2Fwww.webofscience.com%2Fwos%2Fwoscc%2Ffull-record%2FWOS:000967772900003","View Full Record in Web of Science")</f>
        <v>View Full Record in Web of Science</v>
      </c>
    </row>
    <row r="156" spans="1:72" x14ac:dyDescent="0.2">
      <c r="A156" s="30" t="s">
        <v>243</v>
      </c>
      <c r="B156" s="30" t="s">
        <v>1488</v>
      </c>
      <c r="C156" s="30" t="s">
        <v>245</v>
      </c>
      <c r="D156" s="30" t="s">
        <v>245</v>
      </c>
      <c r="E156" s="30" t="s">
        <v>245</v>
      </c>
      <c r="F156" s="30" t="s">
        <v>1489</v>
      </c>
      <c r="G156" s="30" t="s">
        <v>245</v>
      </c>
      <c r="H156" s="30" t="s">
        <v>245</v>
      </c>
      <c r="I156" s="30" t="s">
        <v>1490</v>
      </c>
      <c r="J156" s="30" t="s">
        <v>501</v>
      </c>
      <c r="K156" s="30" t="s">
        <v>245</v>
      </c>
      <c r="L156" s="30" t="s">
        <v>245</v>
      </c>
      <c r="M156" s="30" t="s">
        <v>245</v>
      </c>
      <c r="N156" s="30" t="s">
        <v>245</v>
      </c>
      <c r="O156" s="30" t="s">
        <v>245</v>
      </c>
      <c r="P156" s="30" t="s">
        <v>245</v>
      </c>
      <c r="Q156" s="30" t="s">
        <v>245</v>
      </c>
      <c r="R156" s="30" t="s">
        <v>245</v>
      </c>
      <c r="S156" s="30" t="s">
        <v>245</v>
      </c>
      <c r="T156" s="30" t="s">
        <v>245</v>
      </c>
      <c r="U156" s="30" t="s">
        <v>245</v>
      </c>
      <c r="V156" s="30" t="s">
        <v>245</v>
      </c>
      <c r="W156" s="30" t="s">
        <v>245</v>
      </c>
      <c r="X156" s="30" t="s">
        <v>245</v>
      </c>
      <c r="Y156" s="30" t="s">
        <v>245</v>
      </c>
      <c r="Z156" s="30" t="s">
        <v>245</v>
      </c>
      <c r="AA156" s="30" t="s">
        <v>1491</v>
      </c>
      <c r="AB156" s="30" t="s">
        <v>245</v>
      </c>
      <c r="AC156" s="30" t="s">
        <v>245</v>
      </c>
      <c r="AD156" s="30" t="s">
        <v>245</v>
      </c>
      <c r="AE156" s="30" t="s">
        <v>245</v>
      </c>
      <c r="AF156" s="30" t="s">
        <v>245</v>
      </c>
      <c r="AG156" s="30" t="s">
        <v>245</v>
      </c>
      <c r="AH156" s="30" t="s">
        <v>245</v>
      </c>
      <c r="AI156" s="30" t="s">
        <v>245</v>
      </c>
      <c r="AJ156" s="30" t="s">
        <v>245</v>
      </c>
      <c r="AK156" s="30" t="s">
        <v>245</v>
      </c>
      <c r="AL156" s="30" t="s">
        <v>245</v>
      </c>
      <c r="AM156" s="30" t="s">
        <v>245</v>
      </c>
      <c r="AN156" s="30" t="s">
        <v>245</v>
      </c>
      <c r="AO156" s="30" t="s">
        <v>504</v>
      </c>
      <c r="AP156" s="30" t="s">
        <v>505</v>
      </c>
      <c r="AQ156" s="30" t="s">
        <v>245</v>
      </c>
      <c r="AR156" s="30" t="s">
        <v>245</v>
      </c>
      <c r="AS156" s="30" t="s">
        <v>245</v>
      </c>
      <c r="AT156" s="30" t="s">
        <v>550</v>
      </c>
      <c r="AU156" s="30">
        <v>2022</v>
      </c>
      <c r="AV156" s="30">
        <v>179</v>
      </c>
      <c r="AW156" s="30" t="s">
        <v>245</v>
      </c>
      <c r="AX156" s="30" t="s">
        <v>245</v>
      </c>
      <c r="AY156" s="30" t="s">
        <v>245</v>
      </c>
      <c r="AZ156" s="30" t="s">
        <v>245</v>
      </c>
      <c r="BA156" s="30" t="s">
        <v>245</v>
      </c>
      <c r="BB156" s="30" t="s">
        <v>245</v>
      </c>
      <c r="BC156" s="30" t="s">
        <v>245</v>
      </c>
      <c r="BD156" s="30">
        <v>104585</v>
      </c>
      <c r="BE156" s="30" t="s">
        <v>1492</v>
      </c>
      <c r="BF156" s="30" t="str">
        <f>HYPERLINK("http://dx.doi.org/10.1016/j.apsoil.2022.104585","http://dx.doi.org/10.1016/j.apsoil.2022.104585")</f>
        <v>http://dx.doi.org/10.1016/j.apsoil.2022.104585</v>
      </c>
      <c r="BG156" s="30" t="s">
        <v>245</v>
      </c>
      <c r="BH156" s="30" t="s">
        <v>1493</v>
      </c>
      <c r="BI156" s="30" t="s">
        <v>245</v>
      </c>
      <c r="BJ156" s="30" t="s">
        <v>245</v>
      </c>
      <c r="BK156" s="30" t="s">
        <v>245</v>
      </c>
      <c r="BL156" s="30" t="s">
        <v>245</v>
      </c>
      <c r="BM156" s="30" t="s">
        <v>245</v>
      </c>
      <c r="BN156" s="30" t="s">
        <v>245</v>
      </c>
      <c r="BO156" s="30" t="s">
        <v>245</v>
      </c>
      <c r="BP156" s="30" t="s">
        <v>245</v>
      </c>
      <c r="BQ156" s="30" t="s">
        <v>245</v>
      </c>
      <c r="BR156" s="30" t="s">
        <v>245</v>
      </c>
      <c r="BS156" s="30" t="s">
        <v>1494</v>
      </c>
      <c r="BT156" s="30" t="str">
        <f>HYPERLINK("https%3A%2F%2Fwww.webofscience.com%2Fwos%2Fwoscc%2Ffull-record%2FWOS:000874782100004","View Full Record in Web of Science")</f>
        <v>View Full Record in Web of Science</v>
      </c>
    </row>
    <row r="157" spans="1:72" x14ac:dyDescent="0.2">
      <c r="A157" s="30" t="s">
        <v>243</v>
      </c>
      <c r="B157" s="30" t="s">
        <v>1495</v>
      </c>
      <c r="C157" s="30" t="s">
        <v>245</v>
      </c>
      <c r="D157" s="30" t="s">
        <v>245</v>
      </c>
      <c r="E157" s="30" t="s">
        <v>245</v>
      </c>
      <c r="F157" s="30" t="s">
        <v>1495</v>
      </c>
      <c r="G157" s="30" t="s">
        <v>245</v>
      </c>
      <c r="H157" s="30" t="s">
        <v>245</v>
      </c>
      <c r="I157" s="30" t="s">
        <v>1496</v>
      </c>
      <c r="J157" s="30" t="s">
        <v>1497</v>
      </c>
      <c r="K157" s="30" t="s">
        <v>245</v>
      </c>
      <c r="L157" s="30" t="s">
        <v>245</v>
      </c>
      <c r="M157" s="30" t="s">
        <v>245</v>
      </c>
      <c r="N157" s="30" t="s">
        <v>245</v>
      </c>
      <c r="O157" s="30" t="s">
        <v>245</v>
      </c>
      <c r="P157" s="30" t="s">
        <v>245</v>
      </c>
      <c r="Q157" s="30" t="s">
        <v>245</v>
      </c>
      <c r="R157" s="30" t="s">
        <v>245</v>
      </c>
      <c r="S157" s="30" t="s">
        <v>245</v>
      </c>
      <c r="T157" s="30" t="s">
        <v>245</v>
      </c>
      <c r="U157" s="30" t="s">
        <v>245</v>
      </c>
      <c r="V157" s="30" t="s">
        <v>245</v>
      </c>
      <c r="W157" s="30" t="s">
        <v>245</v>
      </c>
      <c r="X157" s="30" t="s">
        <v>245</v>
      </c>
      <c r="Y157" s="30" t="s">
        <v>245</v>
      </c>
      <c r="Z157" s="30" t="s">
        <v>245</v>
      </c>
      <c r="AA157" s="30" t="s">
        <v>245</v>
      </c>
      <c r="AB157" s="30" t="s">
        <v>245</v>
      </c>
      <c r="AC157" s="30" t="s">
        <v>245</v>
      </c>
      <c r="AD157" s="30" t="s">
        <v>245</v>
      </c>
      <c r="AE157" s="30" t="s">
        <v>245</v>
      </c>
      <c r="AF157" s="30" t="s">
        <v>245</v>
      </c>
      <c r="AG157" s="30" t="s">
        <v>245</v>
      </c>
      <c r="AH157" s="30" t="s">
        <v>245</v>
      </c>
      <c r="AI157" s="30" t="s">
        <v>245</v>
      </c>
      <c r="AJ157" s="30" t="s">
        <v>245</v>
      </c>
      <c r="AK157" s="30" t="s">
        <v>245</v>
      </c>
      <c r="AL157" s="30" t="s">
        <v>245</v>
      </c>
      <c r="AM157" s="30" t="s">
        <v>245</v>
      </c>
      <c r="AN157" s="30" t="s">
        <v>245</v>
      </c>
      <c r="AO157" s="30" t="s">
        <v>1498</v>
      </c>
      <c r="AP157" s="30" t="s">
        <v>245</v>
      </c>
      <c r="AQ157" s="30" t="s">
        <v>245</v>
      </c>
      <c r="AR157" s="30" t="s">
        <v>245</v>
      </c>
      <c r="AS157" s="30" t="s">
        <v>245</v>
      </c>
      <c r="AT157" s="30" t="s">
        <v>245</v>
      </c>
      <c r="AU157" s="30">
        <v>1973</v>
      </c>
      <c r="AV157" s="30">
        <v>98</v>
      </c>
      <c r="AW157" s="30">
        <v>1168</v>
      </c>
      <c r="AX157" s="30" t="s">
        <v>245</v>
      </c>
      <c r="AY157" s="30" t="s">
        <v>245</v>
      </c>
      <c r="AZ157" s="30" t="s">
        <v>245</v>
      </c>
      <c r="BA157" s="30" t="s">
        <v>245</v>
      </c>
      <c r="BB157" s="30">
        <v>506</v>
      </c>
      <c r="BC157" s="30">
        <v>511</v>
      </c>
      <c r="BD157" s="30" t="s">
        <v>245</v>
      </c>
      <c r="BE157" s="30" t="s">
        <v>1499</v>
      </c>
      <c r="BF157" s="30" t="str">
        <f>HYPERLINK("http://dx.doi.org/10.1039/an9739800506","http://dx.doi.org/10.1039/an9739800506")</f>
        <v>http://dx.doi.org/10.1039/an9739800506</v>
      </c>
      <c r="BG157" s="30" t="s">
        <v>245</v>
      </c>
      <c r="BH157" s="30" t="s">
        <v>245</v>
      </c>
      <c r="BI157" s="30" t="s">
        <v>245</v>
      </c>
      <c r="BJ157" s="30" t="s">
        <v>245</v>
      </c>
      <c r="BK157" s="30" t="s">
        <v>245</v>
      </c>
      <c r="BL157" s="30" t="s">
        <v>245</v>
      </c>
      <c r="BM157" s="30" t="s">
        <v>245</v>
      </c>
      <c r="BN157" s="30" t="s">
        <v>245</v>
      </c>
      <c r="BO157" s="30" t="s">
        <v>245</v>
      </c>
      <c r="BP157" s="30" t="s">
        <v>245</v>
      </c>
      <c r="BQ157" s="30" t="s">
        <v>245</v>
      </c>
      <c r="BR157" s="30" t="s">
        <v>245</v>
      </c>
      <c r="BS157" s="30" t="s">
        <v>1500</v>
      </c>
      <c r="BT157" s="30" t="str">
        <f>HYPERLINK("https%3A%2F%2Fwww.webofscience.com%2Fwos%2Fwoscc%2Ffull-record%2FWOS:A1973Q151500006","View Full Record in Web of Science")</f>
        <v>View Full Record in Web of Science</v>
      </c>
    </row>
    <row r="158" spans="1:72" x14ac:dyDescent="0.2">
      <c r="A158" s="30" t="s">
        <v>243</v>
      </c>
      <c r="B158" s="30" t="s">
        <v>1501</v>
      </c>
      <c r="C158" s="30" t="s">
        <v>245</v>
      </c>
      <c r="D158" s="30" t="s">
        <v>245</v>
      </c>
      <c r="E158" s="30" t="s">
        <v>245</v>
      </c>
      <c r="F158" s="30" t="s">
        <v>1502</v>
      </c>
      <c r="G158" s="30" t="s">
        <v>245</v>
      </c>
      <c r="H158" s="30" t="s">
        <v>245</v>
      </c>
      <c r="I158" s="30" t="s">
        <v>1503</v>
      </c>
      <c r="J158" s="30" t="s">
        <v>1504</v>
      </c>
      <c r="K158" s="30" t="s">
        <v>245</v>
      </c>
      <c r="L158" s="30" t="s">
        <v>245</v>
      </c>
      <c r="M158" s="30" t="s">
        <v>245</v>
      </c>
      <c r="N158" s="30" t="s">
        <v>245</v>
      </c>
      <c r="O158" s="30" t="s">
        <v>245</v>
      </c>
      <c r="P158" s="30" t="s">
        <v>245</v>
      </c>
      <c r="Q158" s="30" t="s">
        <v>245</v>
      </c>
      <c r="R158" s="30" t="s">
        <v>245</v>
      </c>
      <c r="S158" s="30" t="s">
        <v>245</v>
      </c>
      <c r="T158" s="30" t="s">
        <v>245</v>
      </c>
      <c r="U158" s="30" t="s">
        <v>245</v>
      </c>
      <c r="V158" s="30" t="s">
        <v>245</v>
      </c>
      <c r="W158" s="30" t="s">
        <v>245</v>
      </c>
      <c r="X158" s="30" t="s">
        <v>245</v>
      </c>
      <c r="Y158" s="30" t="s">
        <v>245</v>
      </c>
      <c r="Z158" s="30" t="s">
        <v>245</v>
      </c>
      <c r="AA158" s="30" t="s">
        <v>245</v>
      </c>
      <c r="AB158" s="30" t="s">
        <v>245</v>
      </c>
      <c r="AC158" s="30" t="s">
        <v>245</v>
      </c>
      <c r="AD158" s="30" t="s">
        <v>245</v>
      </c>
      <c r="AE158" s="30" t="s">
        <v>245</v>
      </c>
      <c r="AF158" s="30" t="s">
        <v>245</v>
      </c>
      <c r="AG158" s="30" t="s">
        <v>245</v>
      </c>
      <c r="AH158" s="30" t="s">
        <v>245</v>
      </c>
      <c r="AI158" s="30" t="s">
        <v>245</v>
      </c>
      <c r="AJ158" s="30" t="s">
        <v>245</v>
      </c>
      <c r="AK158" s="30" t="s">
        <v>245</v>
      </c>
      <c r="AL158" s="30" t="s">
        <v>245</v>
      </c>
      <c r="AM158" s="30" t="s">
        <v>245</v>
      </c>
      <c r="AN158" s="30" t="s">
        <v>245</v>
      </c>
      <c r="AO158" s="30" t="s">
        <v>1505</v>
      </c>
      <c r="AP158" s="30" t="s">
        <v>1506</v>
      </c>
      <c r="AQ158" s="30" t="s">
        <v>245</v>
      </c>
      <c r="AR158" s="30" t="s">
        <v>245</v>
      </c>
      <c r="AS158" s="30" t="s">
        <v>245</v>
      </c>
      <c r="AT158" s="30" t="s">
        <v>245</v>
      </c>
      <c r="AU158" s="30">
        <v>2018</v>
      </c>
      <c r="AV158" s="30">
        <v>64</v>
      </c>
      <c r="AW158" s="30">
        <v>12</v>
      </c>
      <c r="AX158" s="30" t="s">
        <v>245</v>
      </c>
      <c r="AY158" s="30" t="s">
        <v>245</v>
      </c>
      <c r="AZ158" s="30" t="s">
        <v>245</v>
      </c>
      <c r="BA158" s="30" t="s">
        <v>245</v>
      </c>
      <c r="BB158" s="30">
        <v>597</v>
      </c>
      <c r="BC158" s="30">
        <v>604</v>
      </c>
      <c r="BD158" s="30" t="s">
        <v>245</v>
      </c>
      <c r="BE158" s="30" t="s">
        <v>1507</v>
      </c>
      <c r="BF158" s="30" t="str">
        <f>HYPERLINK("http://dx.doi.org/10.17221/114/2018-PSE","http://dx.doi.org/10.17221/114/2018-PSE")</f>
        <v>http://dx.doi.org/10.17221/114/2018-PSE</v>
      </c>
      <c r="BG158" s="30" t="s">
        <v>245</v>
      </c>
      <c r="BH158" s="30" t="s">
        <v>245</v>
      </c>
      <c r="BI158" s="30" t="s">
        <v>245</v>
      </c>
      <c r="BJ158" s="30" t="s">
        <v>245</v>
      </c>
      <c r="BK158" s="30" t="s">
        <v>245</v>
      </c>
      <c r="BL158" s="30" t="s">
        <v>245</v>
      </c>
      <c r="BM158" s="30" t="s">
        <v>245</v>
      </c>
      <c r="BN158" s="30" t="s">
        <v>245</v>
      </c>
      <c r="BO158" s="30" t="s">
        <v>245</v>
      </c>
      <c r="BP158" s="30" t="s">
        <v>245</v>
      </c>
      <c r="BQ158" s="30" t="s">
        <v>245</v>
      </c>
      <c r="BR158" s="30" t="s">
        <v>245</v>
      </c>
      <c r="BS158" s="30" t="s">
        <v>1508</v>
      </c>
      <c r="BT158" s="30" t="str">
        <f>HYPERLINK("https%3A%2F%2Fwww.webofscience.com%2Fwos%2Fwoscc%2Ffull-record%2FWOS:000451787600005","View Full Record in Web of Science")</f>
        <v>View Full Record in Web of Science</v>
      </c>
    </row>
    <row r="159" spans="1:72" x14ac:dyDescent="0.2">
      <c r="A159" s="30" t="s">
        <v>243</v>
      </c>
      <c r="B159" s="30" t="s">
        <v>1509</v>
      </c>
      <c r="C159" s="30" t="s">
        <v>245</v>
      </c>
      <c r="D159" s="30" t="s">
        <v>245</v>
      </c>
      <c r="E159" s="30" t="s">
        <v>245</v>
      </c>
      <c r="F159" s="30" t="s">
        <v>1509</v>
      </c>
      <c r="G159" s="30" t="s">
        <v>245</v>
      </c>
      <c r="H159" s="30" t="s">
        <v>245</v>
      </c>
      <c r="I159" s="30" t="s">
        <v>1510</v>
      </c>
      <c r="J159" s="30" t="s">
        <v>304</v>
      </c>
      <c r="K159" s="30" t="s">
        <v>245</v>
      </c>
      <c r="L159" s="30" t="s">
        <v>245</v>
      </c>
      <c r="M159" s="30" t="s">
        <v>245</v>
      </c>
      <c r="N159" s="30" t="s">
        <v>245</v>
      </c>
      <c r="O159" s="30" t="s">
        <v>245</v>
      </c>
      <c r="P159" s="30" t="s">
        <v>245</v>
      </c>
      <c r="Q159" s="30" t="s">
        <v>245</v>
      </c>
      <c r="R159" s="30" t="s">
        <v>245</v>
      </c>
      <c r="S159" s="30" t="s">
        <v>245</v>
      </c>
      <c r="T159" s="30" t="s">
        <v>245</v>
      </c>
      <c r="U159" s="30" t="s">
        <v>245</v>
      </c>
      <c r="V159" s="30" t="s">
        <v>245</v>
      </c>
      <c r="W159" s="30" t="s">
        <v>245</v>
      </c>
      <c r="X159" s="30" t="s">
        <v>245</v>
      </c>
      <c r="Y159" s="30" t="s">
        <v>245</v>
      </c>
      <c r="Z159" s="30" t="s">
        <v>245</v>
      </c>
      <c r="AA159" s="30" t="s">
        <v>245</v>
      </c>
      <c r="AB159" s="30" t="s">
        <v>245</v>
      </c>
      <c r="AC159" s="30" t="s">
        <v>245</v>
      </c>
      <c r="AD159" s="30" t="s">
        <v>245</v>
      </c>
      <c r="AE159" s="30" t="s">
        <v>245</v>
      </c>
      <c r="AF159" s="30" t="s">
        <v>245</v>
      </c>
      <c r="AG159" s="30" t="s">
        <v>245</v>
      </c>
      <c r="AH159" s="30" t="s">
        <v>245</v>
      </c>
      <c r="AI159" s="30" t="s">
        <v>245</v>
      </c>
      <c r="AJ159" s="30" t="s">
        <v>245</v>
      </c>
      <c r="AK159" s="30" t="s">
        <v>245</v>
      </c>
      <c r="AL159" s="30" t="s">
        <v>245</v>
      </c>
      <c r="AM159" s="30" t="s">
        <v>245</v>
      </c>
      <c r="AN159" s="30" t="s">
        <v>245</v>
      </c>
      <c r="AO159" s="30" t="s">
        <v>307</v>
      </c>
      <c r="AP159" s="30" t="s">
        <v>308</v>
      </c>
      <c r="AQ159" s="30" t="s">
        <v>245</v>
      </c>
      <c r="AR159" s="30" t="s">
        <v>245</v>
      </c>
      <c r="AS159" s="30" t="s">
        <v>245</v>
      </c>
      <c r="AT159" s="30" t="s">
        <v>487</v>
      </c>
      <c r="AU159" s="30">
        <v>1987</v>
      </c>
      <c r="AV159" s="30">
        <v>33</v>
      </c>
      <c r="AW159" s="30">
        <v>1</v>
      </c>
      <c r="AX159" s="30" t="s">
        <v>245</v>
      </c>
      <c r="AY159" s="30" t="s">
        <v>245</v>
      </c>
      <c r="AZ159" s="30" t="s">
        <v>245</v>
      </c>
      <c r="BA159" s="30" t="s">
        <v>245</v>
      </c>
      <c r="BB159" s="30">
        <v>35</v>
      </c>
      <c r="BC159" s="30">
        <v>42</v>
      </c>
      <c r="BD159" s="30" t="s">
        <v>245</v>
      </c>
      <c r="BE159" s="30" t="s">
        <v>1511</v>
      </c>
      <c r="BF159" s="30" t="str">
        <f>HYPERLINK("http://dx.doi.org/10.1080/00380768.1987.10557550","http://dx.doi.org/10.1080/00380768.1987.10557550")</f>
        <v>http://dx.doi.org/10.1080/00380768.1987.10557550</v>
      </c>
      <c r="BG159" s="30" t="s">
        <v>245</v>
      </c>
      <c r="BH159" s="30" t="s">
        <v>245</v>
      </c>
      <c r="BI159" s="30" t="s">
        <v>245</v>
      </c>
      <c r="BJ159" s="30" t="s">
        <v>245</v>
      </c>
      <c r="BK159" s="30" t="s">
        <v>245</v>
      </c>
      <c r="BL159" s="30" t="s">
        <v>245</v>
      </c>
      <c r="BM159" s="30" t="s">
        <v>245</v>
      </c>
      <c r="BN159" s="30" t="s">
        <v>245</v>
      </c>
      <c r="BO159" s="30" t="s">
        <v>245</v>
      </c>
      <c r="BP159" s="30" t="s">
        <v>245</v>
      </c>
      <c r="BQ159" s="30" t="s">
        <v>245</v>
      </c>
      <c r="BR159" s="30" t="s">
        <v>245</v>
      </c>
      <c r="BS159" s="30" t="s">
        <v>1512</v>
      </c>
      <c r="BT159" s="30" t="str">
        <f>HYPERLINK("https%3A%2F%2Fwww.webofscience.com%2Fwos%2Fwoscc%2Ffull-record%2FWOS:A1987G641400003","View Full Record in Web of Science")</f>
        <v>View Full Record in Web of Science</v>
      </c>
    </row>
    <row r="160" spans="1:72" x14ac:dyDescent="0.2">
      <c r="A160" s="30" t="s">
        <v>243</v>
      </c>
      <c r="B160" s="30" t="s">
        <v>1513</v>
      </c>
      <c r="C160" s="30" t="s">
        <v>245</v>
      </c>
      <c r="D160" s="30" t="s">
        <v>245</v>
      </c>
      <c r="E160" s="30" t="s">
        <v>245</v>
      </c>
      <c r="F160" s="30" t="s">
        <v>1514</v>
      </c>
      <c r="G160" s="30" t="s">
        <v>245</v>
      </c>
      <c r="H160" s="30" t="s">
        <v>245</v>
      </c>
      <c r="I160" s="30" t="s">
        <v>1515</v>
      </c>
      <c r="J160" s="30" t="s">
        <v>1516</v>
      </c>
      <c r="K160" s="30" t="s">
        <v>245</v>
      </c>
      <c r="L160" s="30" t="s">
        <v>245</v>
      </c>
      <c r="M160" s="30" t="s">
        <v>245</v>
      </c>
      <c r="N160" s="30" t="s">
        <v>245</v>
      </c>
      <c r="O160" s="30" t="s">
        <v>245</v>
      </c>
      <c r="P160" s="30" t="s">
        <v>245</v>
      </c>
      <c r="Q160" s="30" t="s">
        <v>245</v>
      </c>
      <c r="R160" s="30" t="s">
        <v>245</v>
      </c>
      <c r="S160" s="30" t="s">
        <v>245</v>
      </c>
      <c r="T160" s="30" t="s">
        <v>245</v>
      </c>
      <c r="U160" s="30" t="s">
        <v>245</v>
      </c>
      <c r="V160" s="30" t="s">
        <v>245</v>
      </c>
      <c r="W160" s="30" t="s">
        <v>245</v>
      </c>
      <c r="X160" s="30" t="s">
        <v>245</v>
      </c>
      <c r="Y160" s="30" t="s">
        <v>245</v>
      </c>
      <c r="Z160" s="30" t="s">
        <v>245</v>
      </c>
      <c r="AA160" s="30" t="s">
        <v>1517</v>
      </c>
      <c r="AB160" s="30" t="s">
        <v>1518</v>
      </c>
      <c r="AC160" s="30" t="s">
        <v>245</v>
      </c>
      <c r="AD160" s="30" t="s">
        <v>245</v>
      </c>
      <c r="AE160" s="30" t="s">
        <v>245</v>
      </c>
      <c r="AF160" s="30" t="s">
        <v>245</v>
      </c>
      <c r="AG160" s="30" t="s">
        <v>245</v>
      </c>
      <c r="AH160" s="30" t="s">
        <v>245</v>
      </c>
      <c r="AI160" s="30" t="s">
        <v>245</v>
      </c>
      <c r="AJ160" s="30" t="s">
        <v>245</v>
      </c>
      <c r="AK160" s="30" t="s">
        <v>245</v>
      </c>
      <c r="AL160" s="30" t="s">
        <v>245</v>
      </c>
      <c r="AM160" s="30" t="s">
        <v>245</v>
      </c>
      <c r="AN160" s="30" t="s">
        <v>245</v>
      </c>
      <c r="AO160" s="30" t="s">
        <v>1519</v>
      </c>
      <c r="AP160" s="30" t="s">
        <v>1520</v>
      </c>
      <c r="AQ160" s="30" t="s">
        <v>245</v>
      </c>
      <c r="AR160" s="30" t="s">
        <v>245</v>
      </c>
      <c r="AS160" s="30" t="s">
        <v>245</v>
      </c>
      <c r="AT160" s="30" t="s">
        <v>1521</v>
      </c>
      <c r="AU160" s="30">
        <v>2019</v>
      </c>
      <c r="AV160" s="30">
        <v>16</v>
      </c>
      <c r="AW160" s="30">
        <v>23</v>
      </c>
      <c r="AX160" s="30" t="s">
        <v>245</v>
      </c>
      <c r="AY160" s="30" t="s">
        <v>245</v>
      </c>
      <c r="AZ160" s="30" t="s">
        <v>245</v>
      </c>
      <c r="BA160" s="30" t="s">
        <v>245</v>
      </c>
      <c r="BB160" s="30">
        <v>4555</v>
      </c>
      <c r="BC160" s="30">
        <v>4575</v>
      </c>
      <c r="BD160" s="30" t="s">
        <v>245</v>
      </c>
      <c r="BE160" s="30" t="s">
        <v>1522</v>
      </c>
      <c r="BF160" s="30" t="str">
        <f>HYPERLINK("http://dx.doi.org/10.5194/bg-16-4555-2019","http://dx.doi.org/10.5194/bg-16-4555-2019")</f>
        <v>http://dx.doi.org/10.5194/bg-16-4555-2019</v>
      </c>
      <c r="BG160" s="30" t="s">
        <v>245</v>
      </c>
      <c r="BH160" s="30" t="s">
        <v>245</v>
      </c>
      <c r="BI160" s="30" t="s">
        <v>245</v>
      </c>
      <c r="BJ160" s="30" t="s">
        <v>245</v>
      </c>
      <c r="BK160" s="30" t="s">
        <v>245</v>
      </c>
      <c r="BL160" s="30" t="s">
        <v>245</v>
      </c>
      <c r="BM160" s="30" t="s">
        <v>245</v>
      </c>
      <c r="BN160" s="30" t="s">
        <v>245</v>
      </c>
      <c r="BO160" s="30" t="s">
        <v>245</v>
      </c>
      <c r="BP160" s="30" t="s">
        <v>245</v>
      </c>
      <c r="BQ160" s="30" t="s">
        <v>245</v>
      </c>
      <c r="BR160" s="30" t="s">
        <v>245</v>
      </c>
      <c r="BS160" s="30" t="s">
        <v>1523</v>
      </c>
      <c r="BT160" s="30" t="str">
        <f>HYPERLINK("https%3A%2F%2Fwww.webofscience.com%2Fwos%2Fwoscc%2Ffull-record%2FWOS:000499703100002","View Full Record in Web of Science")</f>
        <v>View Full Record in Web of Science</v>
      </c>
    </row>
    <row r="161" spans="1:72" x14ac:dyDescent="0.2">
      <c r="A161" s="30" t="s">
        <v>243</v>
      </c>
      <c r="B161" s="30" t="s">
        <v>1524</v>
      </c>
      <c r="C161" s="30" t="s">
        <v>245</v>
      </c>
      <c r="D161" s="30" t="s">
        <v>245</v>
      </c>
      <c r="E161" s="30" t="s">
        <v>245</v>
      </c>
      <c r="F161" s="30" t="s">
        <v>1525</v>
      </c>
      <c r="G161" s="30" t="s">
        <v>245</v>
      </c>
      <c r="H161" s="30" t="s">
        <v>245</v>
      </c>
      <c r="I161" s="30" t="s">
        <v>1526</v>
      </c>
      <c r="J161" s="30" t="s">
        <v>432</v>
      </c>
      <c r="K161" s="30" t="s">
        <v>245</v>
      </c>
      <c r="L161" s="30" t="s">
        <v>245</v>
      </c>
      <c r="M161" s="30" t="s">
        <v>245</v>
      </c>
      <c r="N161" s="30" t="s">
        <v>245</v>
      </c>
      <c r="O161" s="30" t="s">
        <v>245</v>
      </c>
      <c r="P161" s="30" t="s">
        <v>245</v>
      </c>
      <c r="Q161" s="30" t="s">
        <v>245</v>
      </c>
      <c r="R161" s="30" t="s">
        <v>245</v>
      </c>
      <c r="S161" s="30" t="s">
        <v>245</v>
      </c>
      <c r="T161" s="30" t="s">
        <v>245</v>
      </c>
      <c r="U161" s="30" t="s">
        <v>245</v>
      </c>
      <c r="V161" s="30" t="s">
        <v>245</v>
      </c>
      <c r="W161" s="30" t="s">
        <v>245</v>
      </c>
      <c r="X161" s="30" t="s">
        <v>245</v>
      </c>
      <c r="Y161" s="30" t="s">
        <v>245</v>
      </c>
      <c r="Z161" s="30" t="s">
        <v>245</v>
      </c>
      <c r="AA161" s="30" t="s">
        <v>1527</v>
      </c>
      <c r="AB161" s="30" t="s">
        <v>1528</v>
      </c>
      <c r="AC161" s="30" t="s">
        <v>245</v>
      </c>
      <c r="AD161" s="30" t="s">
        <v>245</v>
      </c>
      <c r="AE161" s="30" t="s">
        <v>245</v>
      </c>
      <c r="AF161" s="30" t="s">
        <v>245</v>
      </c>
      <c r="AG161" s="30" t="s">
        <v>245</v>
      </c>
      <c r="AH161" s="30" t="s">
        <v>245</v>
      </c>
      <c r="AI161" s="30" t="s">
        <v>245</v>
      </c>
      <c r="AJ161" s="30" t="s">
        <v>245</v>
      </c>
      <c r="AK161" s="30" t="s">
        <v>245</v>
      </c>
      <c r="AL161" s="30" t="s">
        <v>245</v>
      </c>
      <c r="AM161" s="30" t="s">
        <v>245</v>
      </c>
      <c r="AN161" s="30" t="s">
        <v>245</v>
      </c>
      <c r="AO161" s="30" t="s">
        <v>433</v>
      </c>
      <c r="AP161" s="30" t="s">
        <v>434</v>
      </c>
      <c r="AQ161" s="30" t="s">
        <v>245</v>
      </c>
      <c r="AR161" s="30" t="s">
        <v>245</v>
      </c>
      <c r="AS161" s="30" t="s">
        <v>245</v>
      </c>
      <c r="AT161" s="30" t="s">
        <v>487</v>
      </c>
      <c r="AU161" s="30">
        <v>2021</v>
      </c>
      <c r="AV161" s="30">
        <v>460</v>
      </c>
      <c r="AW161" s="30" t="s">
        <v>436</v>
      </c>
      <c r="AX161" s="30" t="s">
        <v>245</v>
      </c>
      <c r="AY161" s="30" t="s">
        <v>245</v>
      </c>
      <c r="AZ161" s="30" t="s">
        <v>245</v>
      </c>
      <c r="BA161" s="30" t="s">
        <v>245</v>
      </c>
      <c r="BB161" s="30">
        <v>211</v>
      </c>
      <c r="BC161" s="30">
        <v>227</v>
      </c>
      <c r="BD161" s="30" t="s">
        <v>245</v>
      </c>
      <c r="BE161" s="30" t="s">
        <v>1529</v>
      </c>
      <c r="BF161" s="30" t="str">
        <f>HYPERLINK("http://dx.doi.org/10.1007/s11104-020-04809-5","http://dx.doi.org/10.1007/s11104-020-04809-5")</f>
        <v>http://dx.doi.org/10.1007/s11104-020-04809-5</v>
      </c>
      <c r="BG161" s="30" t="s">
        <v>245</v>
      </c>
      <c r="BH161" s="30" t="s">
        <v>1530</v>
      </c>
      <c r="BI161" s="30" t="s">
        <v>245</v>
      </c>
      <c r="BJ161" s="30" t="s">
        <v>245</v>
      </c>
      <c r="BK161" s="30" t="s">
        <v>245</v>
      </c>
      <c r="BL161" s="30" t="s">
        <v>245</v>
      </c>
      <c r="BM161" s="30" t="s">
        <v>245</v>
      </c>
      <c r="BN161" s="30" t="s">
        <v>245</v>
      </c>
      <c r="BO161" s="30" t="s">
        <v>245</v>
      </c>
      <c r="BP161" s="30" t="s">
        <v>245</v>
      </c>
      <c r="BQ161" s="30" t="s">
        <v>245</v>
      </c>
      <c r="BR161" s="30" t="s">
        <v>245</v>
      </c>
      <c r="BS161" s="30" t="s">
        <v>1531</v>
      </c>
      <c r="BT161" s="30" t="str">
        <f>HYPERLINK("https%3A%2F%2Fwww.webofscience.com%2Fwos%2Fwoscc%2Ffull-record%2FWOS:000606388700002","View Full Record in Web of Science")</f>
        <v>View Full Record in Web of Science</v>
      </c>
    </row>
    <row r="162" spans="1:72" x14ac:dyDescent="0.2">
      <c r="A162" s="30" t="s">
        <v>243</v>
      </c>
      <c r="B162" s="30" t="s">
        <v>1532</v>
      </c>
      <c r="C162" s="30" t="s">
        <v>245</v>
      </c>
      <c r="D162" s="30" t="s">
        <v>245</v>
      </c>
      <c r="E162" s="30" t="s">
        <v>245</v>
      </c>
      <c r="F162" s="30" t="s">
        <v>1533</v>
      </c>
      <c r="G162" s="30" t="s">
        <v>245</v>
      </c>
      <c r="H162" s="30" t="s">
        <v>245</v>
      </c>
      <c r="I162" s="30" t="s">
        <v>1534</v>
      </c>
      <c r="J162" s="30" t="s">
        <v>1535</v>
      </c>
      <c r="K162" s="30" t="s">
        <v>245</v>
      </c>
      <c r="L162" s="30" t="s">
        <v>245</v>
      </c>
      <c r="M162" s="30" t="s">
        <v>245</v>
      </c>
      <c r="N162" s="30" t="s">
        <v>245</v>
      </c>
      <c r="O162" s="30" t="s">
        <v>245</v>
      </c>
      <c r="P162" s="30" t="s">
        <v>245</v>
      </c>
      <c r="Q162" s="30" t="s">
        <v>245</v>
      </c>
      <c r="R162" s="30" t="s">
        <v>245</v>
      </c>
      <c r="S162" s="30" t="s">
        <v>245</v>
      </c>
      <c r="T162" s="30" t="s">
        <v>245</v>
      </c>
      <c r="U162" s="30" t="s">
        <v>245</v>
      </c>
      <c r="V162" s="30" t="s">
        <v>245</v>
      </c>
      <c r="W162" s="30" t="s">
        <v>245</v>
      </c>
      <c r="X162" s="30" t="s">
        <v>245</v>
      </c>
      <c r="Y162" s="30" t="s">
        <v>245</v>
      </c>
      <c r="Z162" s="30" t="s">
        <v>245</v>
      </c>
      <c r="AA162" s="30" t="s">
        <v>1536</v>
      </c>
      <c r="AB162" s="30" t="s">
        <v>1537</v>
      </c>
      <c r="AC162" s="30" t="s">
        <v>245</v>
      </c>
      <c r="AD162" s="30" t="s">
        <v>245</v>
      </c>
      <c r="AE162" s="30" t="s">
        <v>245</v>
      </c>
      <c r="AF162" s="30" t="s">
        <v>245</v>
      </c>
      <c r="AG162" s="30" t="s">
        <v>245</v>
      </c>
      <c r="AH162" s="30" t="s">
        <v>245</v>
      </c>
      <c r="AI162" s="30" t="s">
        <v>245</v>
      </c>
      <c r="AJ162" s="30" t="s">
        <v>245</v>
      </c>
      <c r="AK162" s="30" t="s">
        <v>245</v>
      </c>
      <c r="AL162" s="30" t="s">
        <v>245</v>
      </c>
      <c r="AM162" s="30" t="s">
        <v>245</v>
      </c>
      <c r="AN162" s="30" t="s">
        <v>245</v>
      </c>
      <c r="AO162" s="30" t="s">
        <v>1538</v>
      </c>
      <c r="AP162" s="30" t="s">
        <v>1539</v>
      </c>
      <c r="AQ162" s="30" t="s">
        <v>245</v>
      </c>
      <c r="AR162" s="30" t="s">
        <v>245</v>
      </c>
      <c r="AS162" s="30" t="s">
        <v>245</v>
      </c>
      <c r="AT162" s="30" t="s">
        <v>487</v>
      </c>
      <c r="AU162" s="30">
        <v>2015</v>
      </c>
      <c r="AV162" s="30">
        <v>64</v>
      </c>
      <c r="AW162" s="30" t="s">
        <v>245</v>
      </c>
      <c r="AX162" s="30" t="s">
        <v>245</v>
      </c>
      <c r="AY162" s="30" t="s">
        <v>245</v>
      </c>
      <c r="AZ162" s="30" t="s">
        <v>245</v>
      </c>
      <c r="BA162" s="30" t="s">
        <v>245</v>
      </c>
      <c r="BB162" s="30">
        <v>47</v>
      </c>
      <c r="BC162" s="30">
        <v>57</v>
      </c>
      <c r="BD162" s="30" t="s">
        <v>245</v>
      </c>
      <c r="BE162" s="30" t="s">
        <v>1540</v>
      </c>
      <c r="BF162" s="30" t="str">
        <f>HYPERLINK("http://dx.doi.org/10.1016/j.eja.2014.11.008","http://dx.doi.org/10.1016/j.eja.2014.11.008")</f>
        <v>http://dx.doi.org/10.1016/j.eja.2014.11.008</v>
      </c>
      <c r="BG162" s="30" t="s">
        <v>245</v>
      </c>
      <c r="BH162" s="30" t="s">
        <v>245</v>
      </c>
      <c r="BI162" s="30" t="s">
        <v>245</v>
      </c>
      <c r="BJ162" s="30" t="s">
        <v>245</v>
      </c>
      <c r="BK162" s="30" t="s">
        <v>245</v>
      </c>
      <c r="BL162" s="30" t="s">
        <v>245</v>
      </c>
      <c r="BM162" s="30" t="s">
        <v>245</v>
      </c>
      <c r="BN162" s="30" t="s">
        <v>245</v>
      </c>
      <c r="BO162" s="30" t="s">
        <v>245</v>
      </c>
      <c r="BP162" s="30" t="s">
        <v>245</v>
      </c>
      <c r="BQ162" s="30" t="s">
        <v>245</v>
      </c>
      <c r="BR162" s="30" t="s">
        <v>245</v>
      </c>
      <c r="BS162" s="30" t="s">
        <v>1541</v>
      </c>
      <c r="BT162" s="30" t="str">
        <f>HYPERLINK("https%3A%2F%2Fwww.webofscience.com%2Fwos%2Fwoscc%2Ffull-record%2FWOS:000349425100006","View Full Record in Web of Science")</f>
        <v>View Full Record in Web of Science</v>
      </c>
    </row>
    <row r="163" spans="1:72" x14ac:dyDescent="0.2">
      <c r="A163" s="30" t="s">
        <v>243</v>
      </c>
      <c r="B163" s="30" t="s">
        <v>1542</v>
      </c>
      <c r="C163" s="30" t="s">
        <v>245</v>
      </c>
      <c r="D163" s="30" t="s">
        <v>245</v>
      </c>
      <c r="E163" s="30" t="s">
        <v>245</v>
      </c>
      <c r="F163" s="30" t="s">
        <v>1542</v>
      </c>
      <c r="G163" s="30" t="s">
        <v>245</v>
      </c>
      <c r="H163" s="30" t="s">
        <v>245</v>
      </c>
      <c r="I163" s="30" t="s">
        <v>1543</v>
      </c>
      <c r="J163" s="30" t="s">
        <v>986</v>
      </c>
      <c r="K163" s="30" t="s">
        <v>245</v>
      </c>
      <c r="L163" s="30" t="s">
        <v>245</v>
      </c>
      <c r="M163" s="30" t="s">
        <v>245</v>
      </c>
      <c r="N163" s="30" t="s">
        <v>245</v>
      </c>
      <c r="O163" s="30" t="s">
        <v>245</v>
      </c>
      <c r="P163" s="30" t="s">
        <v>245</v>
      </c>
      <c r="Q163" s="30" t="s">
        <v>245</v>
      </c>
      <c r="R163" s="30" t="s">
        <v>245</v>
      </c>
      <c r="S163" s="30" t="s">
        <v>245</v>
      </c>
      <c r="T163" s="30" t="s">
        <v>245</v>
      </c>
      <c r="U163" s="30" t="s">
        <v>245</v>
      </c>
      <c r="V163" s="30" t="s">
        <v>245</v>
      </c>
      <c r="W163" s="30" t="s">
        <v>245</v>
      </c>
      <c r="X163" s="30" t="s">
        <v>245</v>
      </c>
      <c r="Y163" s="30" t="s">
        <v>245</v>
      </c>
      <c r="Z163" s="30" t="s">
        <v>245</v>
      </c>
      <c r="AA163" s="30" t="s">
        <v>245</v>
      </c>
      <c r="AB163" s="30" t="s">
        <v>245</v>
      </c>
      <c r="AC163" s="30" t="s">
        <v>245</v>
      </c>
      <c r="AD163" s="30" t="s">
        <v>245</v>
      </c>
      <c r="AE163" s="30" t="s">
        <v>245</v>
      </c>
      <c r="AF163" s="30" t="s">
        <v>245</v>
      </c>
      <c r="AG163" s="30" t="s">
        <v>245</v>
      </c>
      <c r="AH163" s="30" t="s">
        <v>245</v>
      </c>
      <c r="AI163" s="30" t="s">
        <v>245</v>
      </c>
      <c r="AJ163" s="30" t="s">
        <v>245</v>
      </c>
      <c r="AK163" s="30" t="s">
        <v>245</v>
      </c>
      <c r="AL163" s="30" t="s">
        <v>245</v>
      </c>
      <c r="AM163" s="30" t="s">
        <v>245</v>
      </c>
      <c r="AN163" s="30" t="s">
        <v>245</v>
      </c>
      <c r="AO163" s="30" t="s">
        <v>987</v>
      </c>
      <c r="AP163" s="30" t="s">
        <v>988</v>
      </c>
      <c r="AQ163" s="30" t="s">
        <v>245</v>
      </c>
      <c r="AR163" s="30" t="s">
        <v>245</v>
      </c>
      <c r="AS163" s="30" t="s">
        <v>245</v>
      </c>
      <c r="AT163" s="30" t="s">
        <v>265</v>
      </c>
      <c r="AU163" s="30">
        <v>1990</v>
      </c>
      <c r="AV163" s="30">
        <v>56</v>
      </c>
      <c r="AW163" s="30">
        <v>6</v>
      </c>
      <c r="AX163" s="30" t="s">
        <v>245</v>
      </c>
      <c r="AY163" s="30" t="s">
        <v>245</v>
      </c>
      <c r="AZ163" s="30" t="s">
        <v>245</v>
      </c>
      <c r="BA163" s="30" t="s">
        <v>245</v>
      </c>
      <c r="BB163" s="30">
        <v>1799</v>
      </c>
      <c r="BC163" s="30">
        <v>1805</v>
      </c>
      <c r="BD163" s="30" t="s">
        <v>245</v>
      </c>
      <c r="BE163" s="30" t="s">
        <v>1544</v>
      </c>
      <c r="BF163" s="30" t="str">
        <f>HYPERLINK("http://dx.doi.org/10.1128/AEM.56.6.1799-1805.1990","http://dx.doi.org/10.1128/AEM.56.6.1799-1805.1990")</f>
        <v>http://dx.doi.org/10.1128/AEM.56.6.1799-1805.1990</v>
      </c>
      <c r="BG163" s="30" t="s">
        <v>245</v>
      </c>
      <c r="BH163" s="30" t="s">
        <v>245</v>
      </c>
      <c r="BI163" s="30" t="s">
        <v>245</v>
      </c>
      <c r="BJ163" s="30" t="s">
        <v>245</v>
      </c>
      <c r="BK163" s="30" t="s">
        <v>245</v>
      </c>
      <c r="BL163" s="30" t="s">
        <v>245</v>
      </c>
      <c r="BM163" s="30" t="s">
        <v>245</v>
      </c>
      <c r="BN163" s="30">
        <v>16348220</v>
      </c>
      <c r="BO163" s="30" t="s">
        <v>245</v>
      </c>
      <c r="BP163" s="30" t="s">
        <v>245</v>
      </c>
      <c r="BQ163" s="30" t="s">
        <v>245</v>
      </c>
      <c r="BR163" s="30" t="s">
        <v>245</v>
      </c>
      <c r="BS163" s="30" t="s">
        <v>1545</v>
      </c>
      <c r="BT163" s="30" t="str">
        <f>HYPERLINK("https%3A%2F%2Fwww.webofscience.com%2Fwos%2Fwoscc%2Ffull-record%2FWOS:A1990DG92200047","View Full Record in Web of Science")</f>
        <v>View Full Record in Web of Science</v>
      </c>
    </row>
    <row r="164" spans="1:72" x14ac:dyDescent="0.2">
      <c r="A164" s="30" t="s">
        <v>243</v>
      </c>
      <c r="B164" s="30" t="s">
        <v>1546</v>
      </c>
      <c r="C164" s="30" t="s">
        <v>245</v>
      </c>
      <c r="D164" s="30" t="s">
        <v>245</v>
      </c>
      <c r="E164" s="30" t="s">
        <v>245</v>
      </c>
      <c r="F164" s="30" t="s">
        <v>1547</v>
      </c>
      <c r="G164" s="30" t="s">
        <v>245</v>
      </c>
      <c r="H164" s="30" t="s">
        <v>245</v>
      </c>
      <c r="I164" s="30" t="s">
        <v>1548</v>
      </c>
      <c r="J164" s="30" t="s">
        <v>1549</v>
      </c>
      <c r="K164" s="30" t="s">
        <v>245</v>
      </c>
      <c r="L164" s="30" t="s">
        <v>245</v>
      </c>
      <c r="M164" s="30" t="s">
        <v>245</v>
      </c>
      <c r="N164" s="30" t="s">
        <v>245</v>
      </c>
      <c r="O164" s="30" t="s">
        <v>245</v>
      </c>
      <c r="P164" s="30" t="s">
        <v>245</v>
      </c>
      <c r="Q164" s="30" t="s">
        <v>245</v>
      </c>
      <c r="R164" s="30" t="s">
        <v>245</v>
      </c>
      <c r="S164" s="30" t="s">
        <v>245</v>
      </c>
      <c r="T164" s="30" t="s">
        <v>245</v>
      </c>
      <c r="U164" s="30" t="s">
        <v>245</v>
      </c>
      <c r="V164" s="30" t="s">
        <v>245</v>
      </c>
      <c r="W164" s="30" t="s">
        <v>245</v>
      </c>
      <c r="X164" s="30" t="s">
        <v>245</v>
      </c>
      <c r="Y164" s="30" t="s">
        <v>245</v>
      </c>
      <c r="Z164" s="30" t="s">
        <v>245</v>
      </c>
      <c r="AA164" s="30" t="s">
        <v>245</v>
      </c>
      <c r="AB164" s="30" t="s">
        <v>1550</v>
      </c>
      <c r="AC164" s="30" t="s">
        <v>245</v>
      </c>
      <c r="AD164" s="30" t="s">
        <v>245</v>
      </c>
      <c r="AE164" s="30" t="s">
        <v>245</v>
      </c>
      <c r="AF164" s="30" t="s">
        <v>245</v>
      </c>
      <c r="AG164" s="30" t="s">
        <v>245</v>
      </c>
      <c r="AH164" s="30" t="s">
        <v>245</v>
      </c>
      <c r="AI164" s="30" t="s">
        <v>245</v>
      </c>
      <c r="AJ164" s="30" t="s">
        <v>245</v>
      </c>
      <c r="AK164" s="30" t="s">
        <v>245</v>
      </c>
      <c r="AL164" s="30" t="s">
        <v>245</v>
      </c>
      <c r="AM164" s="30" t="s">
        <v>245</v>
      </c>
      <c r="AN164" s="30" t="s">
        <v>245</v>
      </c>
      <c r="AO164" s="30" t="s">
        <v>1551</v>
      </c>
      <c r="AP164" s="30" t="s">
        <v>1552</v>
      </c>
      <c r="AQ164" s="30" t="s">
        <v>245</v>
      </c>
      <c r="AR164" s="30" t="s">
        <v>245</v>
      </c>
      <c r="AS164" s="30" t="s">
        <v>245</v>
      </c>
      <c r="AT164" s="30" t="s">
        <v>770</v>
      </c>
      <c r="AU164" s="30">
        <v>2024</v>
      </c>
      <c r="AV164" s="30">
        <v>350</v>
      </c>
      <c r="AW164" s="30" t="s">
        <v>245</v>
      </c>
      <c r="AX164" s="30" t="s">
        <v>245</v>
      </c>
      <c r="AY164" s="30" t="s">
        <v>245</v>
      </c>
      <c r="AZ164" s="30" t="s">
        <v>245</v>
      </c>
      <c r="BA164" s="30" t="s">
        <v>245</v>
      </c>
      <c r="BB164" s="30" t="s">
        <v>245</v>
      </c>
      <c r="BC164" s="30" t="s">
        <v>245</v>
      </c>
      <c r="BD164" s="30">
        <v>123973</v>
      </c>
      <c r="BE164" s="30" t="s">
        <v>1553</v>
      </c>
      <c r="BF164" s="30" t="str">
        <f>HYPERLINK("http://dx.doi.org/10.1016/j.envpol.2024.123973","http://dx.doi.org/10.1016/j.envpol.2024.123973")</f>
        <v>http://dx.doi.org/10.1016/j.envpol.2024.123973</v>
      </c>
      <c r="BG164" s="30" t="s">
        <v>245</v>
      </c>
      <c r="BH164" s="30" t="s">
        <v>1554</v>
      </c>
      <c r="BI164" s="30" t="s">
        <v>245</v>
      </c>
      <c r="BJ164" s="30" t="s">
        <v>245</v>
      </c>
      <c r="BK164" s="30" t="s">
        <v>245</v>
      </c>
      <c r="BL164" s="30" t="s">
        <v>245</v>
      </c>
      <c r="BM164" s="30" t="s">
        <v>245</v>
      </c>
      <c r="BN164" s="30">
        <v>38636841</v>
      </c>
      <c r="BO164" s="30" t="s">
        <v>245</v>
      </c>
      <c r="BP164" s="30" t="s">
        <v>245</v>
      </c>
      <c r="BQ164" s="30" t="s">
        <v>245</v>
      </c>
      <c r="BR164" s="30" t="s">
        <v>245</v>
      </c>
      <c r="BS164" s="30" t="s">
        <v>1555</v>
      </c>
      <c r="BT164" s="30" t="str">
        <f>HYPERLINK("https%3A%2F%2Fwww.webofscience.com%2Fwos%2Fwoscc%2Ffull-record%2FWOS:001237116600001","View Full Record in Web of Science")</f>
        <v>View Full Record in Web of Science</v>
      </c>
    </row>
    <row r="165" spans="1:72" x14ac:dyDescent="0.2">
      <c r="A165" s="30" t="s">
        <v>243</v>
      </c>
      <c r="B165" s="30" t="s">
        <v>1556</v>
      </c>
      <c r="C165" s="30" t="s">
        <v>245</v>
      </c>
      <c r="D165" s="30" t="s">
        <v>245</v>
      </c>
      <c r="E165" s="30" t="s">
        <v>245</v>
      </c>
      <c r="F165" s="30" t="s">
        <v>1557</v>
      </c>
      <c r="G165" s="30" t="s">
        <v>245</v>
      </c>
      <c r="H165" s="30" t="s">
        <v>245</v>
      </c>
      <c r="I165" s="30" t="s">
        <v>1558</v>
      </c>
      <c r="J165" s="30" t="s">
        <v>469</v>
      </c>
      <c r="K165" s="30" t="s">
        <v>245</v>
      </c>
      <c r="L165" s="30" t="s">
        <v>245</v>
      </c>
      <c r="M165" s="30" t="s">
        <v>245</v>
      </c>
      <c r="N165" s="30" t="s">
        <v>245</v>
      </c>
      <c r="O165" s="30" t="s">
        <v>245</v>
      </c>
      <c r="P165" s="30" t="s">
        <v>245</v>
      </c>
      <c r="Q165" s="30" t="s">
        <v>245</v>
      </c>
      <c r="R165" s="30" t="s">
        <v>245</v>
      </c>
      <c r="S165" s="30" t="s">
        <v>245</v>
      </c>
      <c r="T165" s="30" t="s">
        <v>245</v>
      </c>
      <c r="U165" s="30" t="s">
        <v>245</v>
      </c>
      <c r="V165" s="30" t="s">
        <v>245</v>
      </c>
      <c r="W165" s="30" t="s">
        <v>245</v>
      </c>
      <c r="X165" s="30" t="s">
        <v>245</v>
      </c>
      <c r="Y165" s="30" t="s">
        <v>245</v>
      </c>
      <c r="Z165" s="30" t="s">
        <v>245</v>
      </c>
      <c r="AA165" s="30" t="s">
        <v>245</v>
      </c>
      <c r="AB165" s="30" t="s">
        <v>245</v>
      </c>
      <c r="AC165" s="30" t="s">
        <v>245</v>
      </c>
      <c r="AD165" s="30" t="s">
        <v>245</v>
      </c>
      <c r="AE165" s="30" t="s">
        <v>245</v>
      </c>
      <c r="AF165" s="30" t="s">
        <v>245</v>
      </c>
      <c r="AG165" s="30" t="s">
        <v>245</v>
      </c>
      <c r="AH165" s="30" t="s">
        <v>245</v>
      </c>
      <c r="AI165" s="30" t="s">
        <v>245</v>
      </c>
      <c r="AJ165" s="30" t="s">
        <v>245</v>
      </c>
      <c r="AK165" s="30" t="s">
        <v>245</v>
      </c>
      <c r="AL165" s="30" t="s">
        <v>245</v>
      </c>
      <c r="AM165" s="30" t="s">
        <v>245</v>
      </c>
      <c r="AN165" s="30" t="s">
        <v>245</v>
      </c>
      <c r="AO165" s="30" t="s">
        <v>472</v>
      </c>
      <c r="AP165" s="30" t="s">
        <v>473</v>
      </c>
      <c r="AQ165" s="30" t="s">
        <v>245</v>
      </c>
      <c r="AR165" s="30" t="s">
        <v>245</v>
      </c>
      <c r="AS165" s="30" t="s">
        <v>245</v>
      </c>
      <c r="AT165" s="30" t="s">
        <v>1105</v>
      </c>
      <c r="AU165" s="30">
        <v>2018</v>
      </c>
      <c r="AV165" s="30">
        <v>310</v>
      </c>
      <c r="AW165" s="30" t="s">
        <v>245</v>
      </c>
      <c r="AX165" s="30" t="s">
        <v>245</v>
      </c>
      <c r="AY165" s="30" t="s">
        <v>245</v>
      </c>
      <c r="AZ165" s="30" t="s">
        <v>245</v>
      </c>
      <c r="BA165" s="30" t="s">
        <v>245</v>
      </c>
      <c r="BB165" s="30">
        <v>12</v>
      </c>
      <c r="BC165" s="30">
        <v>21</v>
      </c>
      <c r="BD165" s="30" t="s">
        <v>245</v>
      </c>
      <c r="BE165" s="30" t="s">
        <v>1559</v>
      </c>
      <c r="BF165" s="30" t="str">
        <f>HYPERLINK("http://dx.doi.org/10.1016/j.geoderma.2017.08.040","http://dx.doi.org/10.1016/j.geoderma.2017.08.040")</f>
        <v>http://dx.doi.org/10.1016/j.geoderma.2017.08.040</v>
      </c>
      <c r="BG165" s="30" t="s">
        <v>245</v>
      </c>
      <c r="BH165" s="30" t="s">
        <v>245</v>
      </c>
      <c r="BI165" s="30" t="s">
        <v>245</v>
      </c>
      <c r="BJ165" s="30" t="s">
        <v>245</v>
      </c>
      <c r="BK165" s="30" t="s">
        <v>245</v>
      </c>
      <c r="BL165" s="30" t="s">
        <v>245</v>
      </c>
      <c r="BM165" s="30" t="s">
        <v>245</v>
      </c>
      <c r="BN165" s="30" t="s">
        <v>245</v>
      </c>
      <c r="BO165" s="30" t="s">
        <v>245</v>
      </c>
      <c r="BP165" s="30" t="s">
        <v>245</v>
      </c>
      <c r="BQ165" s="30" t="s">
        <v>245</v>
      </c>
      <c r="BR165" s="30" t="s">
        <v>245</v>
      </c>
      <c r="BS165" s="30" t="s">
        <v>1560</v>
      </c>
      <c r="BT165" s="30" t="str">
        <f>HYPERLINK("https%3A%2F%2Fwww.webofscience.com%2Fwos%2Fwoscc%2Ffull-record%2FWOS:000413799400002","View Full Record in Web of Science")</f>
        <v>View Full Record in Web of Science</v>
      </c>
    </row>
    <row r="166" spans="1:72" x14ac:dyDescent="0.2">
      <c r="A166" s="30" t="s">
        <v>243</v>
      </c>
      <c r="B166" s="30" t="s">
        <v>1561</v>
      </c>
      <c r="C166" s="30" t="s">
        <v>245</v>
      </c>
      <c r="D166" s="30" t="s">
        <v>245</v>
      </c>
      <c r="E166" s="30" t="s">
        <v>245</v>
      </c>
      <c r="F166" s="30" t="s">
        <v>1561</v>
      </c>
      <c r="G166" s="30" t="s">
        <v>245</v>
      </c>
      <c r="H166" s="30" t="s">
        <v>245</v>
      </c>
      <c r="I166" s="30" t="s">
        <v>1562</v>
      </c>
      <c r="J166" s="30" t="s">
        <v>1563</v>
      </c>
      <c r="K166" s="30" t="s">
        <v>245</v>
      </c>
      <c r="L166" s="30" t="s">
        <v>245</v>
      </c>
      <c r="M166" s="30" t="s">
        <v>245</v>
      </c>
      <c r="N166" s="30" t="s">
        <v>245</v>
      </c>
      <c r="O166" s="30" t="s">
        <v>245</v>
      </c>
      <c r="P166" s="30" t="s">
        <v>245</v>
      </c>
      <c r="Q166" s="30" t="s">
        <v>245</v>
      </c>
      <c r="R166" s="30" t="s">
        <v>245</v>
      </c>
      <c r="S166" s="30" t="s">
        <v>245</v>
      </c>
      <c r="T166" s="30" t="s">
        <v>245</v>
      </c>
      <c r="U166" s="30" t="s">
        <v>245</v>
      </c>
      <c r="V166" s="30" t="s">
        <v>245</v>
      </c>
      <c r="W166" s="30" t="s">
        <v>245</v>
      </c>
      <c r="X166" s="30" t="s">
        <v>245</v>
      </c>
      <c r="Y166" s="30" t="s">
        <v>245</v>
      </c>
      <c r="Z166" s="30" t="s">
        <v>245</v>
      </c>
      <c r="AA166" s="30" t="s">
        <v>245</v>
      </c>
      <c r="AB166" s="30" t="s">
        <v>245</v>
      </c>
      <c r="AC166" s="30" t="s">
        <v>245</v>
      </c>
      <c r="AD166" s="30" t="s">
        <v>245</v>
      </c>
      <c r="AE166" s="30" t="s">
        <v>245</v>
      </c>
      <c r="AF166" s="30" t="s">
        <v>245</v>
      </c>
      <c r="AG166" s="30" t="s">
        <v>245</v>
      </c>
      <c r="AH166" s="30" t="s">
        <v>245</v>
      </c>
      <c r="AI166" s="30" t="s">
        <v>245</v>
      </c>
      <c r="AJ166" s="30" t="s">
        <v>245</v>
      </c>
      <c r="AK166" s="30" t="s">
        <v>245</v>
      </c>
      <c r="AL166" s="30" t="s">
        <v>245</v>
      </c>
      <c r="AM166" s="30" t="s">
        <v>245</v>
      </c>
      <c r="AN166" s="30" t="s">
        <v>245</v>
      </c>
      <c r="AO166" s="30" t="s">
        <v>1564</v>
      </c>
      <c r="AP166" s="30" t="s">
        <v>1565</v>
      </c>
      <c r="AQ166" s="30" t="s">
        <v>245</v>
      </c>
      <c r="AR166" s="30" t="s">
        <v>245</v>
      </c>
      <c r="AS166" s="30" t="s">
        <v>245</v>
      </c>
      <c r="AT166" s="30" t="s">
        <v>535</v>
      </c>
      <c r="AU166" s="30">
        <v>1988</v>
      </c>
      <c r="AV166" s="30">
        <v>40</v>
      </c>
      <c r="AW166" s="30" t="s">
        <v>1566</v>
      </c>
      <c r="AX166" s="30" t="s">
        <v>245</v>
      </c>
      <c r="AY166" s="30" t="s">
        <v>245</v>
      </c>
      <c r="AZ166" s="30" t="s">
        <v>245</v>
      </c>
      <c r="BA166" s="30" t="s">
        <v>245</v>
      </c>
      <c r="BB166" s="30">
        <v>391</v>
      </c>
      <c r="BC166" s="30">
        <v>397</v>
      </c>
      <c r="BD166" s="30" t="s">
        <v>245</v>
      </c>
      <c r="BE166" s="30" t="s">
        <v>245</v>
      </c>
      <c r="BF166" s="30" t="s">
        <v>245</v>
      </c>
      <c r="BG166" s="30" t="s">
        <v>245</v>
      </c>
      <c r="BH166" s="30" t="s">
        <v>245</v>
      </c>
      <c r="BI166" s="30" t="s">
        <v>245</v>
      </c>
      <c r="BJ166" s="30" t="s">
        <v>245</v>
      </c>
      <c r="BK166" s="30" t="s">
        <v>245</v>
      </c>
      <c r="BL166" s="30" t="s">
        <v>245</v>
      </c>
      <c r="BM166" s="30" t="s">
        <v>245</v>
      </c>
      <c r="BN166" s="30" t="s">
        <v>245</v>
      </c>
      <c r="BO166" s="30" t="s">
        <v>245</v>
      </c>
      <c r="BP166" s="30" t="s">
        <v>245</v>
      </c>
      <c r="BQ166" s="30" t="s">
        <v>245</v>
      </c>
      <c r="BR166" s="30" t="s">
        <v>245</v>
      </c>
      <c r="BS166" s="30" t="s">
        <v>1567</v>
      </c>
      <c r="BT166" s="30" t="str">
        <f>HYPERLINK("https%3A%2F%2Fwww.webofscience.com%2Fwos%2Fwoscc%2Ffull-record%2FWOS:A1988R485400013","View Full Record in Web of Science")</f>
        <v>View Full Record in Web of Science</v>
      </c>
    </row>
    <row r="167" spans="1:72" x14ac:dyDescent="0.2">
      <c r="A167" s="30" t="s">
        <v>243</v>
      </c>
      <c r="B167" s="30" t="s">
        <v>1568</v>
      </c>
      <c r="C167" s="30" t="s">
        <v>245</v>
      </c>
      <c r="D167" s="30" t="s">
        <v>245</v>
      </c>
      <c r="E167" s="30" t="s">
        <v>245</v>
      </c>
      <c r="F167" s="30" t="s">
        <v>1568</v>
      </c>
      <c r="G167" s="30" t="s">
        <v>245</v>
      </c>
      <c r="H167" s="30" t="s">
        <v>245</v>
      </c>
      <c r="I167" s="30" t="s">
        <v>1569</v>
      </c>
      <c r="J167" s="30" t="s">
        <v>1570</v>
      </c>
      <c r="K167" s="30" t="s">
        <v>245</v>
      </c>
      <c r="L167" s="30" t="s">
        <v>245</v>
      </c>
      <c r="M167" s="30" t="s">
        <v>245</v>
      </c>
      <c r="N167" s="30" t="s">
        <v>245</v>
      </c>
      <c r="O167" s="30" t="s">
        <v>245</v>
      </c>
      <c r="P167" s="30" t="s">
        <v>245</v>
      </c>
      <c r="Q167" s="30" t="s">
        <v>245</v>
      </c>
      <c r="R167" s="30" t="s">
        <v>245</v>
      </c>
      <c r="S167" s="30" t="s">
        <v>245</v>
      </c>
      <c r="T167" s="30" t="s">
        <v>245</v>
      </c>
      <c r="U167" s="30" t="s">
        <v>245</v>
      </c>
      <c r="V167" s="30" t="s">
        <v>245</v>
      </c>
      <c r="W167" s="30" t="s">
        <v>245</v>
      </c>
      <c r="X167" s="30" t="s">
        <v>245</v>
      </c>
      <c r="Y167" s="30" t="s">
        <v>245</v>
      </c>
      <c r="Z167" s="30" t="s">
        <v>245</v>
      </c>
      <c r="AA167" s="30" t="s">
        <v>245</v>
      </c>
      <c r="AB167" s="30" t="s">
        <v>245</v>
      </c>
      <c r="AC167" s="30" t="s">
        <v>245</v>
      </c>
      <c r="AD167" s="30" t="s">
        <v>245</v>
      </c>
      <c r="AE167" s="30" t="s">
        <v>245</v>
      </c>
      <c r="AF167" s="30" t="s">
        <v>245</v>
      </c>
      <c r="AG167" s="30" t="s">
        <v>245</v>
      </c>
      <c r="AH167" s="30" t="s">
        <v>245</v>
      </c>
      <c r="AI167" s="30" t="s">
        <v>245</v>
      </c>
      <c r="AJ167" s="30" t="s">
        <v>245</v>
      </c>
      <c r="AK167" s="30" t="s">
        <v>245</v>
      </c>
      <c r="AL167" s="30" t="s">
        <v>245</v>
      </c>
      <c r="AM167" s="30" t="s">
        <v>245</v>
      </c>
      <c r="AN167" s="30" t="s">
        <v>245</v>
      </c>
      <c r="AO167" s="30" t="s">
        <v>1571</v>
      </c>
      <c r="AP167" s="30" t="s">
        <v>1572</v>
      </c>
      <c r="AQ167" s="30" t="s">
        <v>245</v>
      </c>
      <c r="AR167" s="30" t="s">
        <v>245</v>
      </c>
      <c r="AS167" s="30" t="s">
        <v>245</v>
      </c>
      <c r="AT167" s="30" t="s">
        <v>1573</v>
      </c>
      <c r="AU167" s="30">
        <v>2001</v>
      </c>
      <c r="AV167" s="30">
        <v>37</v>
      </c>
      <c r="AW167" s="30">
        <v>1</v>
      </c>
      <c r="AX167" s="30" t="s">
        <v>245</v>
      </c>
      <c r="AY167" s="30" t="s">
        <v>245</v>
      </c>
      <c r="AZ167" s="30" t="s">
        <v>245</v>
      </c>
      <c r="BA167" s="30" t="s">
        <v>245</v>
      </c>
      <c r="BB167" s="30">
        <v>25</v>
      </c>
      <c r="BC167" s="30">
        <v>50</v>
      </c>
      <c r="BD167" s="30" t="s">
        <v>245</v>
      </c>
      <c r="BE167" s="30" t="s">
        <v>1574</v>
      </c>
      <c r="BF167" s="30" t="str">
        <f>HYPERLINK("http://dx.doi.org/10.1016/S1164-5563(01)01067-6","http://dx.doi.org/10.1016/S1164-5563(01)01067-6")</f>
        <v>http://dx.doi.org/10.1016/S1164-5563(01)01067-6</v>
      </c>
      <c r="BG167" s="30" t="s">
        <v>245</v>
      </c>
      <c r="BH167" s="30" t="s">
        <v>245</v>
      </c>
      <c r="BI167" s="30" t="s">
        <v>245</v>
      </c>
      <c r="BJ167" s="30" t="s">
        <v>245</v>
      </c>
      <c r="BK167" s="30" t="s">
        <v>245</v>
      </c>
      <c r="BL167" s="30" t="s">
        <v>245</v>
      </c>
      <c r="BM167" s="30" t="s">
        <v>245</v>
      </c>
      <c r="BN167" s="30" t="s">
        <v>245</v>
      </c>
      <c r="BO167" s="30" t="s">
        <v>245</v>
      </c>
      <c r="BP167" s="30" t="s">
        <v>245</v>
      </c>
      <c r="BQ167" s="30" t="s">
        <v>245</v>
      </c>
      <c r="BR167" s="30" t="s">
        <v>245</v>
      </c>
      <c r="BS167" s="30" t="s">
        <v>1575</v>
      </c>
      <c r="BT167" s="30" t="str">
        <f>HYPERLINK("https%3A%2F%2Fwww.webofscience.com%2Fwos%2Fwoscc%2Ffull-record%2FWOS:000168474700004","View Full Record in Web of Science")</f>
        <v>View Full Record in Web of Science</v>
      </c>
    </row>
    <row r="168" spans="1:72" x14ac:dyDescent="0.2">
      <c r="A168" s="30" t="s">
        <v>243</v>
      </c>
      <c r="B168" s="30" t="s">
        <v>1576</v>
      </c>
      <c r="C168" s="30" t="s">
        <v>245</v>
      </c>
      <c r="D168" s="30" t="s">
        <v>245</v>
      </c>
      <c r="E168" s="30" t="s">
        <v>245</v>
      </c>
      <c r="F168" s="30" t="s">
        <v>1577</v>
      </c>
      <c r="G168" s="30" t="s">
        <v>245</v>
      </c>
      <c r="H168" s="30" t="s">
        <v>245</v>
      </c>
      <c r="I168" s="30" t="s">
        <v>1578</v>
      </c>
      <c r="J168" s="30" t="s">
        <v>304</v>
      </c>
      <c r="K168" s="30" t="s">
        <v>245</v>
      </c>
      <c r="L168" s="30" t="s">
        <v>245</v>
      </c>
      <c r="M168" s="30" t="s">
        <v>245</v>
      </c>
      <c r="N168" s="30" t="s">
        <v>245</v>
      </c>
      <c r="O168" s="30" t="s">
        <v>245</v>
      </c>
      <c r="P168" s="30" t="s">
        <v>245</v>
      </c>
      <c r="Q168" s="30" t="s">
        <v>245</v>
      </c>
      <c r="R168" s="30" t="s">
        <v>245</v>
      </c>
      <c r="S168" s="30" t="s">
        <v>245</v>
      </c>
      <c r="T168" s="30" t="s">
        <v>245</v>
      </c>
      <c r="U168" s="30" t="s">
        <v>245</v>
      </c>
      <c r="V168" s="30" t="s">
        <v>245</v>
      </c>
      <c r="W168" s="30" t="s">
        <v>245</v>
      </c>
      <c r="X168" s="30" t="s">
        <v>245</v>
      </c>
      <c r="Y168" s="30" t="s">
        <v>245</v>
      </c>
      <c r="Z168" s="30" t="s">
        <v>245</v>
      </c>
      <c r="AA168" s="30" t="s">
        <v>245</v>
      </c>
      <c r="AB168" s="30" t="s">
        <v>245</v>
      </c>
      <c r="AC168" s="30" t="s">
        <v>245</v>
      </c>
      <c r="AD168" s="30" t="s">
        <v>245</v>
      </c>
      <c r="AE168" s="30" t="s">
        <v>245</v>
      </c>
      <c r="AF168" s="30" t="s">
        <v>245</v>
      </c>
      <c r="AG168" s="30" t="s">
        <v>245</v>
      </c>
      <c r="AH168" s="30" t="s">
        <v>245</v>
      </c>
      <c r="AI168" s="30" t="s">
        <v>245</v>
      </c>
      <c r="AJ168" s="30" t="s">
        <v>245</v>
      </c>
      <c r="AK168" s="30" t="s">
        <v>245</v>
      </c>
      <c r="AL168" s="30" t="s">
        <v>245</v>
      </c>
      <c r="AM168" s="30" t="s">
        <v>245</v>
      </c>
      <c r="AN168" s="30" t="s">
        <v>245</v>
      </c>
      <c r="AO168" s="30" t="s">
        <v>307</v>
      </c>
      <c r="AP168" s="30" t="s">
        <v>308</v>
      </c>
      <c r="AQ168" s="30" t="s">
        <v>245</v>
      </c>
      <c r="AR168" s="30" t="s">
        <v>245</v>
      </c>
      <c r="AS168" s="30" t="s">
        <v>245</v>
      </c>
      <c r="AT168" s="30" t="s">
        <v>265</v>
      </c>
      <c r="AU168" s="30">
        <v>2010</v>
      </c>
      <c r="AV168" s="30">
        <v>56</v>
      </c>
      <c r="AW168" s="30">
        <v>3</v>
      </c>
      <c r="AX168" s="30" t="s">
        <v>245</v>
      </c>
      <c r="AY168" s="30" t="s">
        <v>245</v>
      </c>
      <c r="AZ168" s="30" t="s">
        <v>245</v>
      </c>
      <c r="BA168" s="30" t="s">
        <v>245</v>
      </c>
      <c r="BB168" s="30">
        <v>492</v>
      </c>
      <c r="BC168" s="30">
        <v>502</v>
      </c>
      <c r="BD168" s="30" t="s">
        <v>245</v>
      </c>
      <c r="BE168" s="30" t="s">
        <v>1579</v>
      </c>
      <c r="BF168" s="30" t="str">
        <f>HYPERLINK("http://dx.doi.org/10.1111/j.1747-0765.2010.00465.x","http://dx.doi.org/10.1111/j.1747-0765.2010.00465.x")</f>
        <v>http://dx.doi.org/10.1111/j.1747-0765.2010.00465.x</v>
      </c>
      <c r="BG168" s="30" t="s">
        <v>245</v>
      </c>
      <c r="BH168" s="30" t="s">
        <v>245</v>
      </c>
      <c r="BI168" s="30" t="s">
        <v>245</v>
      </c>
      <c r="BJ168" s="30" t="s">
        <v>245</v>
      </c>
      <c r="BK168" s="30" t="s">
        <v>245</v>
      </c>
      <c r="BL168" s="30" t="s">
        <v>245</v>
      </c>
      <c r="BM168" s="30" t="s">
        <v>245</v>
      </c>
      <c r="BN168" s="30" t="s">
        <v>245</v>
      </c>
      <c r="BO168" s="30" t="s">
        <v>245</v>
      </c>
      <c r="BP168" s="30" t="s">
        <v>245</v>
      </c>
      <c r="BQ168" s="30" t="s">
        <v>245</v>
      </c>
      <c r="BR168" s="30" t="s">
        <v>245</v>
      </c>
      <c r="BS168" s="30" t="s">
        <v>1580</v>
      </c>
      <c r="BT168" s="30" t="str">
        <f>HYPERLINK("https%3A%2F%2Fwww.webofscience.com%2Fwos%2Fwoscc%2Ffull-record%2FWOS:000279988400019","View Full Record in Web of Science")</f>
        <v>View Full Record in Web of Science</v>
      </c>
    </row>
    <row r="169" spans="1:72" x14ac:dyDescent="0.2">
      <c r="A169" s="30" t="s">
        <v>243</v>
      </c>
      <c r="B169" s="30" t="s">
        <v>1581</v>
      </c>
      <c r="C169" s="30" t="s">
        <v>245</v>
      </c>
      <c r="D169" s="30" t="s">
        <v>245</v>
      </c>
      <c r="E169" s="30" t="s">
        <v>245</v>
      </c>
      <c r="F169" s="30" t="s">
        <v>1582</v>
      </c>
      <c r="G169" s="30" t="s">
        <v>245</v>
      </c>
      <c r="H169" s="30" t="s">
        <v>245</v>
      </c>
      <c r="I169" s="30" t="s">
        <v>1583</v>
      </c>
      <c r="J169" s="30" t="s">
        <v>641</v>
      </c>
      <c r="K169" s="30" t="s">
        <v>245</v>
      </c>
      <c r="L169" s="30" t="s">
        <v>245</v>
      </c>
      <c r="M169" s="30" t="s">
        <v>245</v>
      </c>
      <c r="N169" s="30" t="s">
        <v>245</v>
      </c>
      <c r="O169" s="30" t="s">
        <v>245</v>
      </c>
      <c r="P169" s="30" t="s">
        <v>245</v>
      </c>
      <c r="Q169" s="30" t="s">
        <v>245</v>
      </c>
      <c r="R169" s="30" t="s">
        <v>245</v>
      </c>
      <c r="S169" s="30" t="s">
        <v>245</v>
      </c>
      <c r="T169" s="30" t="s">
        <v>245</v>
      </c>
      <c r="U169" s="30" t="s">
        <v>245</v>
      </c>
      <c r="V169" s="30" t="s">
        <v>245</v>
      </c>
      <c r="W169" s="30" t="s">
        <v>245</v>
      </c>
      <c r="X169" s="30" t="s">
        <v>245</v>
      </c>
      <c r="Y169" s="30" t="s">
        <v>245</v>
      </c>
      <c r="Z169" s="30" t="s">
        <v>245</v>
      </c>
      <c r="AA169" s="30" t="s">
        <v>1584</v>
      </c>
      <c r="AB169" s="30" t="s">
        <v>1585</v>
      </c>
      <c r="AC169" s="30" t="s">
        <v>245</v>
      </c>
      <c r="AD169" s="30" t="s">
        <v>245</v>
      </c>
      <c r="AE169" s="30" t="s">
        <v>245</v>
      </c>
      <c r="AF169" s="30" t="s">
        <v>245</v>
      </c>
      <c r="AG169" s="30" t="s">
        <v>245</v>
      </c>
      <c r="AH169" s="30" t="s">
        <v>245</v>
      </c>
      <c r="AI169" s="30" t="s">
        <v>245</v>
      </c>
      <c r="AJ169" s="30" t="s">
        <v>245</v>
      </c>
      <c r="AK169" s="30" t="s">
        <v>245</v>
      </c>
      <c r="AL169" s="30" t="s">
        <v>245</v>
      </c>
      <c r="AM169" s="30" t="s">
        <v>245</v>
      </c>
      <c r="AN169" s="30" t="s">
        <v>245</v>
      </c>
      <c r="AO169" s="30" t="s">
        <v>644</v>
      </c>
      <c r="AP169" s="30" t="s">
        <v>645</v>
      </c>
      <c r="AQ169" s="30" t="s">
        <v>245</v>
      </c>
      <c r="AR169" s="30" t="s">
        <v>245</v>
      </c>
      <c r="AS169" s="30" t="s">
        <v>245</v>
      </c>
      <c r="AT169" s="30" t="s">
        <v>814</v>
      </c>
      <c r="AU169" s="30">
        <v>2006</v>
      </c>
      <c r="AV169" s="30">
        <v>35</v>
      </c>
      <c r="AW169" s="30">
        <v>4</v>
      </c>
      <c r="AX169" s="30" t="s">
        <v>245</v>
      </c>
      <c r="AY169" s="30" t="s">
        <v>245</v>
      </c>
      <c r="AZ169" s="30" t="s">
        <v>245</v>
      </c>
      <c r="BA169" s="30" t="s">
        <v>245</v>
      </c>
      <c r="BB169" s="30">
        <v>973</v>
      </c>
      <c r="BC169" s="30">
        <v>981</v>
      </c>
      <c r="BD169" s="30" t="s">
        <v>245</v>
      </c>
      <c r="BE169" s="30" t="s">
        <v>1586</v>
      </c>
      <c r="BF169" s="30" t="str">
        <f>HYPERLINK("http://dx.doi.org/10.2134/jeq2005.0320","http://dx.doi.org/10.2134/jeq2005.0320")</f>
        <v>http://dx.doi.org/10.2134/jeq2005.0320</v>
      </c>
      <c r="BG169" s="30" t="s">
        <v>245</v>
      </c>
      <c r="BH169" s="30" t="s">
        <v>245</v>
      </c>
      <c r="BI169" s="30" t="s">
        <v>245</v>
      </c>
      <c r="BJ169" s="30" t="s">
        <v>245</v>
      </c>
      <c r="BK169" s="30" t="s">
        <v>245</v>
      </c>
      <c r="BL169" s="30" t="s">
        <v>245</v>
      </c>
      <c r="BM169" s="30" t="s">
        <v>245</v>
      </c>
      <c r="BN169" s="30">
        <v>16738381</v>
      </c>
      <c r="BO169" s="30" t="s">
        <v>245</v>
      </c>
      <c r="BP169" s="30" t="s">
        <v>245</v>
      </c>
      <c r="BQ169" s="30" t="s">
        <v>245</v>
      </c>
      <c r="BR169" s="30" t="s">
        <v>245</v>
      </c>
      <c r="BS169" s="30" t="s">
        <v>1587</v>
      </c>
      <c r="BT169" s="30" t="str">
        <f>HYPERLINK("https%3A%2F%2Fwww.webofscience.com%2Fwos%2Fwoscc%2Ffull-record%2FWOS:000239189900002","View Full Record in Web of Science")</f>
        <v>View Full Record in Web of Science</v>
      </c>
    </row>
    <row r="170" spans="1:72" x14ac:dyDescent="0.2">
      <c r="A170" s="30" t="s">
        <v>243</v>
      </c>
      <c r="B170" s="30" t="s">
        <v>1588</v>
      </c>
      <c r="C170" s="30" t="s">
        <v>245</v>
      </c>
      <c r="D170" s="30" t="s">
        <v>245</v>
      </c>
      <c r="E170" s="30" t="s">
        <v>245</v>
      </c>
      <c r="F170" s="30" t="s">
        <v>1589</v>
      </c>
      <c r="G170" s="30" t="s">
        <v>245</v>
      </c>
      <c r="H170" s="30" t="s">
        <v>245</v>
      </c>
      <c r="I170" s="30" t="s">
        <v>1590</v>
      </c>
      <c r="J170" s="30" t="s">
        <v>1591</v>
      </c>
      <c r="K170" s="30" t="s">
        <v>245</v>
      </c>
      <c r="L170" s="30" t="s">
        <v>245</v>
      </c>
      <c r="M170" s="30" t="s">
        <v>245</v>
      </c>
      <c r="N170" s="30" t="s">
        <v>245</v>
      </c>
      <c r="O170" s="30" t="s">
        <v>245</v>
      </c>
      <c r="P170" s="30" t="s">
        <v>245</v>
      </c>
      <c r="Q170" s="30" t="s">
        <v>245</v>
      </c>
      <c r="R170" s="30" t="s">
        <v>245</v>
      </c>
      <c r="S170" s="30" t="s">
        <v>245</v>
      </c>
      <c r="T170" s="30" t="s">
        <v>245</v>
      </c>
      <c r="U170" s="30" t="s">
        <v>245</v>
      </c>
      <c r="V170" s="30" t="s">
        <v>245</v>
      </c>
      <c r="W170" s="30" t="s">
        <v>245</v>
      </c>
      <c r="X170" s="30" t="s">
        <v>245</v>
      </c>
      <c r="Y170" s="30" t="s">
        <v>245</v>
      </c>
      <c r="Z170" s="30" t="s">
        <v>245</v>
      </c>
      <c r="AA170" s="30" t="s">
        <v>1592</v>
      </c>
      <c r="AB170" s="30" t="s">
        <v>245</v>
      </c>
      <c r="AC170" s="30" t="s">
        <v>245</v>
      </c>
      <c r="AD170" s="30" t="s">
        <v>245</v>
      </c>
      <c r="AE170" s="30" t="s">
        <v>245</v>
      </c>
      <c r="AF170" s="30" t="s">
        <v>245</v>
      </c>
      <c r="AG170" s="30" t="s">
        <v>245</v>
      </c>
      <c r="AH170" s="30" t="s">
        <v>245</v>
      </c>
      <c r="AI170" s="30" t="s">
        <v>245</v>
      </c>
      <c r="AJ170" s="30" t="s">
        <v>245</v>
      </c>
      <c r="AK170" s="30" t="s">
        <v>245</v>
      </c>
      <c r="AL170" s="30" t="s">
        <v>245</v>
      </c>
      <c r="AM170" s="30" t="s">
        <v>245</v>
      </c>
      <c r="AN170" s="30" t="s">
        <v>245</v>
      </c>
      <c r="AO170" s="30" t="s">
        <v>1593</v>
      </c>
      <c r="AP170" s="30" t="s">
        <v>1594</v>
      </c>
      <c r="AQ170" s="30" t="s">
        <v>245</v>
      </c>
      <c r="AR170" s="30" t="s">
        <v>245</v>
      </c>
      <c r="AS170" s="30" t="s">
        <v>245</v>
      </c>
      <c r="AT170" s="30" t="s">
        <v>635</v>
      </c>
      <c r="AU170" s="30">
        <v>2023</v>
      </c>
      <c r="AV170" s="30">
        <v>288</v>
      </c>
      <c r="AW170" s="30" t="s">
        <v>245</v>
      </c>
      <c r="AX170" s="30" t="s">
        <v>245</v>
      </c>
      <c r="AY170" s="30" t="s">
        <v>245</v>
      </c>
      <c r="AZ170" s="30" t="s">
        <v>245</v>
      </c>
      <c r="BA170" s="30" t="s">
        <v>245</v>
      </c>
      <c r="BB170" s="30" t="s">
        <v>245</v>
      </c>
      <c r="BC170" s="30" t="s">
        <v>245</v>
      </c>
      <c r="BD170" s="30">
        <v>108486</v>
      </c>
      <c r="BE170" s="30" t="s">
        <v>1595</v>
      </c>
      <c r="BF170" s="30" t="str">
        <f>HYPERLINK("http://dx.doi.org/10.1016/j.agwat.2023.108486","http://dx.doi.org/10.1016/j.agwat.2023.108486")</f>
        <v>http://dx.doi.org/10.1016/j.agwat.2023.108486</v>
      </c>
      <c r="BG170" s="30" t="s">
        <v>245</v>
      </c>
      <c r="BH170" s="30" t="s">
        <v>1596</v>
      </c>
      <c r="BI170" s="30" t="s">
        <v>245</v>
      </c>
      <c r="BJ170" s="30" t="s">
        <v>245</v>
      </c>
      <c r="BK170" s="30" t="s">
        <v>245</v>
      </c>
      <c r="BL170" s="30" t="s">
        <v>245</v>
      </c>
      <c r="BM170" s="30" t="s">
        <v>245</v>
      </c>
      <c r="BN170" s="30" t="s">
        <v>245</v>
      </c>
      <c r="BO170" s="30" t="s">
        <v>245</v>
      </c>
      <c r="BP170" s="30" t="s">
        <v>245</v>
      </c>
      <c r="BQ170" s="30" t="s">
        <v>245</v>
      </c>
      <c r="BR170" s="30" t="s">
        <v>245</v>
      </c>
      <c r="BS170" s="30" t="s">
        <v>1597</v>
      </c>
      <c r="BT170" s="30" t="str">
        <f>HYPERLINK("https%3A%2F%2Fwww.webofscience.com%2Fwos%2Fwoscc%2Ffull-record%2FWOS:001067370000001","View Full Record in Web of Science")</f>
        <v>View Full Record in Web of Science</v>
      </c>
    </row>
    <row r="171" spans="1:72" x14ac:dyDescent="0.2">
      <c r="A171" s="30" t="s">
        <v>243</v>
      </c>
      <c r="B171" s="30" t="s">
        <v>1598</v>
      </c>
      <c r="C171" s="30" t="s">
        <v>245</v>
      </c>
      <c r="D171" s="30" t="s">
        <v>245</v>
      </c>
      <c r="E171" s="30" t="s">
        <v>245</v>
      </c>
      <c r="F171" s="30" t="s">
        <v>1599</v>
      </c>
      <c r="G171" s="30" t="s">
        <v>245</v>
      </c>
      <c r="H171" s="30" t="s">
        <v>245</v>
      </c>
      <c r="I171" s="30" t="s">
        <v>1600</v>
      </c>
      <c r="J171" s="30" t="s">
        <v>314</v>
      </c>
      <c r="K171" s="30" t="s">
        <v>245</v>
      </c>
      <c r="L171" s="30" t="s">
        <v>245</v>
      </c>
      <c r="M171" s="30" t="s">
        <v>245</v>
      </c>
      <c r="N171" s="30" t="s">
        <v>245</v>
      </c>
      <c r="O171" s="30" t="s">
        <v>245</v>
      </c>
      <c r="P171" s="30" t="s">
        <v>245</v>
      </c>
      <c r="Q171" s="30" t="s">
        <v>245</v>
      </c>
      <c r="R171" s="30" t="s">
        <v>245</v>
      </c>
      <c r="S171" s="30" t="s">
        <v>245</v>
      </c>
      <c r="T171" s="30" t="s">
        <v>245</v>
      </c>
      <c r="U171" s="30" t="s">
        <v>245</v>
      </c>
      <c r="V171" s="30" t="s">
        <v>245</v>
      </c>
      <c r="W171" s="30" t="s">
        <v>245</v>
      </c>
      <c r="X171" s="30" t="s">
        <v>245</v>
      </c>
      <c r="Y171" s="30" t="s">
        <v>245</v>
      </c>
      <c r="Z171" s="30" t="s">
        <v>245</v>
      </c>
      <c r="AA171" s="30" t="s">
        <v>1326</v>
      </c>
      <c r="AB171" s="30" t="s">
        <v>245</v>
      </c>
      <c r="AC171" s="30" t="s">
        <v>245</v>
      </c>
      <c r="AD171" s="30" t="s">
        <v>245</v>
      </c>
      <c r="AE171" s="30" t="s">
        <v>245</v>
      </c>
      <c r="AF171" s="30" t="s">
        <v>245</v>
      </c>
      <c r="AG171" s="30" t="s">
        <v>245</v>
      </c>
      <c r="AH171" s="30" t="s">
        <v>245</v>
      </c>
      <c r="AI171" s="30" t="s">
        <v>245</v>
      </c>
      <c r="AJ171" s="30" t="s">
        <v>245</v>
      </c>
      <c r="AK171" s="30" t="s">
        <v>245</v>
      </c>
      <c r="AL171" s="30" t="s">
        <v>245</v>
      </c>
      <c r="AM171" s="30" t="s">
        <v>245</v>
      </c>
      <c r="AN171" s="30" t="s">
        <v>245</v>
      </c>
      <c r="AO171" s="30" t="s">
        <v>317</v>
      </c>
      <c r="AP171" s="30" t="s">
        <v>318</v>
      </c>
      <c r="AQ171" s="30" t="s">
        <v>245</v>
      </c>
      <c r="AR171" s="30" t="s">
        <v>245</v>
      </c>
      <c r="AS171" s="30" t="s">
        <v>245</v>
      </c>
      <c r="AT171" s="30" t="s">
        <v>1601</v>
      </c>
      <c r="AU171" s="30">
        <v>2021</v>
      </c>
      <c r="AV171" s="30">
        <v>64</v>
      </c>
      <c r="AW171" s="30">
        <v>3</v>
      </c>
      <c r="AX171" s="30" t="s">
        <v>245</v>
      </c>
      <c r="AY171" s="30" t="s">
        <v>245</v>
      </c>
      <c r="AZ171" s="30" t="s">
        <v>298</v>
      </c>
      <c r="BA171" s="30" t="s">
        <v>245</v>
      </c>
      <c r="BB171" s="30">
        <v>271</v>
      </c>
      <c r="BC171" s="30">
        <v>285</v>
      </c>
      <c r="BD171" s="30" t="s">
        <v>245</v>
      </c>
      <c r="BE171" s="30" t="s">
        <v>1602</v>
      </c>
      <c r="BF171" s="30" t="str">
        <f>HYPERLINK("http://dx.doi.org/10.1080/00288233.2020.1814823","http://dx.doi.org/10.1080/00288233.2020.1814823")</f>
        <v>http://dx.doi.org/10.1080/00288233.2020.1814823</v>
      </c>
      <c r="BG171" s="30" t="s">
        <v>245</v>
      </c>
      <c r="BH171" s="30" t="s">
        <v>1603</v>
      </c>
      <c r="BI171" s="30" t="s">
        <v>245</v>
      </c>
      <c r="BJ171" s="30" t="s">
        <v>245</v>
      </c>
      <c r="BK171" s="30" t="s">
        <v>245</v>
      </c>
      <c r="BL171" s="30" t="s">
        <v>245</v>
      </c>
      <c r="BM171" s="30" t="s">
        <v>245</v>
      </c>
      <c r="BN171" s="30" t="s">
        <v>245</v>
      </c>
      <c r="BO171" s="30" t="s">
        <v>245</v>
      </c>
      <c r="BP171" s="30" t="s">
        <v>245</v>
      </c>
      <c r="BQ171" s="30" t="s">
        <v>245</v>
      </c>
      <c r="BR171" s="30" t="s">
        <v>245</v>
      </c>
      <c r="BS171" s="30" t="s">
        <v>1604</v>
      </c>
      <c r="BT171" s="30" t="str">
        <f>HYPERLINK("https%3A%2F%2Fwww.webofscience.com%2Fwos%2Fwoscc%2Ffull-record%2FWOS:000568944000001","View Full Record in Web of Science")</f>
        <v>View Full Record in Web of Science</v>
      </c>
    </row>
    <row r="172" spans="1:72" x14ac:dyDescent="0.2">
      <c r="A172" s="30" t="s">
        <v>243</v>
      </c>
      <c r="B172" s="30" t="s">
        <v>1605</v>
      </c>
      <c r="C172" s="30" t="s">
        <v>245</v>
      </c>
      <c r="D172" s="30" t="s">
        <v>245</v>
      </c>
      <c r="E172" s="30" t="s">
        <v>245</v>
      </c>
      <c r="F172" s="30" t="s">
        <v>1606</v>
      </c>
      <c r="G172" s="30" t="s">
        <v>245</v>
      </c>
      <c r="H172" s="30" t="s">
        <v>245</v>
      </c>
      <c r="I172" s="30" t="s">
        <v>1607</v>
      </c>
      <c r="J172" s="30" t="s">
        <v>1608</v>
      </c>
      <c r="K172" s="30" t="s">
        <v>245</v>
      </c>
      <c r="L172" s="30" t="s">
        <v>245</v>
      </c>
      <c r="M172" s="30" t="s">
        <v>245</v>
      </c>
      <c r="N172" s="30" t="s">
        <v>245</v>
      </c>
      <c r="O172" s="30" t="s">
        <v>245</v>
      </c>
      <c r="P172" s="30" t="s">
        <v>245</v>
      </c>
      <c r="Q172" s="30" t="s">
        <v>245</v>
      </c>
      <c r="R172" s="30" t="s">
        <v>245</v>
      </c>
      <c r="S172" s="30" t="s">
        <v>245</v>
      </c>
      <c r="T172" s="30" t="s">
        <v>245</v>
      </c>
      <c r="U172" s="30" t="s">
        <v>245</v>
      </c>
      <c r="V172" s="30" t="s">
        <v>245</v>
      </c>
      <c r="W172" s="30" t="s">
        <v>245</v>
      </c>
      <c r="X172" s="30" t="s">
        <v>245</v>
      </c>
      <c r="Y172" s="30" t="s">
        <v>245</v>
      </c>
      <c r="Z172" s="30" t="s">
        <v>245</v>
      </c>
      <c r="AA172" s="30" t="s">
        <v>1609</v>
      </c>
      <c r="AB172" s="30" t="s">
        <v>245</v>
      </c>
      <c r="AC172" s="30" t="s">
        <v>245</v>
      </c>
      <c r="AD172" s="30" t="s">
        <v>245</v>
      </c>
      <c r="AE172" s="30" t="s">
        <v>245</v>
      </c>
      <c r="AF172" s="30" t="s">
        <v>245</v>
      </c>
      <c r="AG172" s="30" t="s">
        <v>245</v>
      </c>
      <c r="AH172" s="30" t="s">
        <v>245</v>
      </c>
      <c r="AI172" s="30" t="s">
        <v>245</v>
      </c>
      <c r="AJ172" s="30" t="s">
        <v>245</v>
      </c>
      <c r="AK172" s="30" t="s">
        <v>245</v>
      </c>
      <c r="AL172" s="30" t="s">
        <v>245</v>
      </c>
      <c r="AM172" s="30" t="s">
        <v>245</v>
      </c>
      <c r="AN172" s="30" t="s">
        <v>245</v>
      </c>
      <c r="AO172" s="30" t="s">
        <v>1610</v>
      </c>
      <c r="AP172" s="30" t="s">
        <v>1611</v>
      </c>
      <c r="AQ172" s="30" t="s">
        <v>245</v>
      </c>
      <c r="AR172" s="30" t="s">
        <v>245</v>
      </c>
      <c r="AS172" s="30" t="s">
        <v>245</v>
      </c>
      <c r="AT172" s="30" t="s">
        <v>265</v>
      </c>
      <c r="AU172" s="30">
        <v>2021</v>
      </c>
      <c r="AV172" s="30">
        <v>28</v>
      </c>
      <c r="AW172" s="30">
        <v>24</v>
      </c>
      <c r="AX172" s="30" t="s">
        <v>245</v>
      </c>
      <c r="AY172" s="30" t="s">
        <v>245</v>
      </c>
      <c r="AZ172" s="30" t="s">
        <v>245</v>
      </c>
      <c r="BA172" s="30" t="s">
        <v>245</v>
      </c>
      <c r="BB172" s="30">
        <v>32015</v>
      </c>
      <c r="BC172" s="30">
        <v>32025</v>
      </c>
      <c r="BD172" s="30" t="s">
        <v>245</v>
      </c>
      <c r="BE172" s="30" t="s">
        <v>1612</v>
      </c>
      <c r="BF172" s="30" t="str">
        <f>HYPERLINK("http://dx.doi.org/10.1007/s11356-021-12981-z","http://dx.doi.org/10.1007/s11356-021-12981-z")</f>
        <v>http://dx.doi.org/10.1007/s11356-021-12981-z</v>
      </c>
      <c r="BG172" s="30" t="s">
        <v>245</v>
      </c>
      <c r="BH172" s="30" t="s">
        <v>489</v>
      </c>
      <c r="BI172" s="30" t="s">
        <v>245</v>
      </c>
      <c r="BJ172" s="30" t="s">
        <v>245</v>
      </c>
      <c r="BK172" s="30" t="s">
        <v>245</v>
      </c>
      <c r="BL172" s="30" t="s">
        <v>245</v>
      </c>
      <c r="BM172" s="30" t="s">
        <v>245</v>
      </c>
      <c r="BN172" s="30">
        <v>33624240</v>
      </c>
      <c r="BO172" s="30" t="s">
        <v>245</v>
      </c>
      <c r="BP172" s="30" t="s">
        <v>245</v>
      </c>
      <c r="BQ172" s="30" t="s">
        <v>245</v>
      </c>
      <c r="BR172" s="30" t="s">
        <v>245</v>
      </c>
      <c r="BS172" s="30" t="s">
        <v>1613</v>
      </c>
      <c r="BT172" s="30" t="str">
        <f>HYPERLINK("https%3A%2F%2Fwww.webofscience.com%2Fwos%2Fwoscc%2Ffull-record%2FWOS:000621017700006","View Full Record in Web of Science")</f>
        <v>View Full Record in Web of Science</v>
      </c>
    </row>
    <row r="173" spans="1:72" x14ac:dyDescent="0.2">
      <c r="A173" s="30" t="s">
        <v>243</v>
      </c>
      <c r="B173" s="30" t="s">
        <v>1614</v>
      </c>
      <c r="C173" s="30" t="s">
        <v>245</v>
      </c>
      <c r="D173" s="30" t="s">
        <v>245</v>
      </c>
      <c r="E173" s="30" t="s">
        <v>245</v>
      </c>
      <c r="F173" s="30" t="s">
        <v>1615</v>
      </c>
      <c r="G173" s="30" t="s">
        <v>245</v>
      </c>
      <c r="H173" s="30" t="s">
        <v>245</v>
      </c>
      <c r="I173" s="30" t="s">
        <v>1616</v>
      </c>
      <c r="J173" s="30" t="s">
        <v>501</v>
      </c>
      <c r="K173" s="30" t="s">
        <v>245</v>
      </c>
      <c r="L173" s="30" t="s">
        <v>245</v>
      </c>
      <c r="M173" s="30" t="s">
        <v>245</v>
      </c>
      <c r="N173" s="30" t="s">
        <v>245</v>
      </c>
      <c r="O173" s="30" t="s">
        <v>245</v>
      </c>
      <c r="P173" s="30" t="s">
        <v>245</v>
      </c>
      <c r="Q173" s="30" t="s">
        <v>245</v>
      </c>
      <c r="R173" s="30" t="s">
        <v>245</v>
      </c>
      <c r="S173" s="30" t="s">
        <v>245</v>
      </c>
      <c r="T173" s="30" t="s">
        <v>245</v>
      </c>
      <c r="U173" s="30" t="s">
        <v>245</v>
      </c>
      <c r="V173" s="30" t="s">
        <v>245</v>
      </c>
      <c r="W173" s="30" t="s">
        <v>245</v>
      </c>
      <c r="X173" s="30" t="s">
        <v>245</v>
      </c>
      <c r="Y173" s="30" t="s">
        <v>245</v>
      </c>
      <c r="Z173" s="30" t="s">
        <v>245</v>
      </c>
      <c r="AA173" s="30" t="s">
        <v>1617</v>
      </c>
      <c r="AB173" s="30" t="s">
        <v>1618</v>
      </c>
      <c r="AC173" s="30" t="s">
        <v>245</v>
      </c>
      <c r="AD173" s="30" t="s">
        <v>245</v>
      </c>
      <c r="AE173" s="30" t="s">
        <v>245</v>
      </c>
      <c r="AF173" s="30" t="s">
        <v>245</v>
      </c>
      <c r="AG173" s="30" t="s">
        <v>245</v>
      </c>
      <c r="AH173" s="30" t="s">
        <v>245</v>
      </c>
      <c r="AI173" s="30" t="s">
        <v>245</v>
      </c>
      <c r="AJ173" s="30" t="s">
        <v>245</v>
      </c>
      <c r="AK173" s="30" t="s">
        <v>245</v>
      </c>
      <c r="AL173" s="30" t="s">
        <v>245</v>
      </c>
      <c r="AM173" s="30" t="s">
        <v>245</v>
      </c>
      <c r="AN173" s="30" t="s">
        <v>245</v>
      </c>
      <c r="AO173" s="30" t="s">
        <v>504</v>
      </c>
      <c r="AP173" s="30" t="s">
        <v>505</v>
      </c>
      <c r="AQ173" s="30" t="s">
        <v>245</v>
      </c>
      <c r="AR173" s="30" t="s">
        <v>245</v>
      </c>
      <c r="AS173" s="30" t="s">
        <v>245</v>
      </c>
      <c r="AT173" s="30" t="s">
        <v>265</v>
      </c>
      <c r="AU173" s="30">
        <v>2020</v>
      </c>
      <c r="AV173" s="30">
        <v>150</v>
      </c>
      <c r="AW173" s="30" t="s">
        <v>245</v>
      </c>
      <c r="AX173" s="30" t="s">
        <v>245</v>
      </c>
      <c r="AY173" s="30" t="s">
        <v>245</v>
      </c>
      <c r="AZ173" s="30" t="s">
        <v>245</v>
      </c>
      <c r="BA173" s="30" t="s">
        <v>245</v>
      </c>
      <c r="BB173" s="30" t="s">
        <v>245</v>
      </c>
      <c r="BC173" s="30" t="s">
        <v>245</v>
      </c>
      <c r="BD173" s="30">
        <v>103440</v>
      </c>
      <c r="BE173" s="30" t="s">
        <v>1619</v>
      </c>
      <c r="BF173" s="30" t="str">
        <f>HYPERLINK("http://dx.doi.org/10.1016/j.apsoil.2019.103440","http://dx.doi.org/10.1016/j.apsoil.2019.103440")</f>
        <v>http://dx.doi.org/10.1016/j.apsoil.2019.103440</v>
      </c>
      <c r="BG173" s="30" t="s">
        <v>245</v>
      </c>
      <c r="BH173" s="30" t="s">
        <v>245</v>
      </c>
      <c r="BI173" s="30" t="s">
        <v>245</v>
      </c>
      <c r="BJ173" s="30" t="s">
        <v>245</v>
      </c>
      <c r="BK173" s="30" t="s">
        <v>245</v>
      </c>
      <c r="BL173" s="30" t="s">
        <v>245</v>
      </c>
      <c r="BM173" s="30" t="s">
        <v>245</v>
      </c>
      <c r="BN173" s="30" t="s">
        <v>245</v>
      </c>
      <c r="BO173" s="30" t="s">
        <v>245</v>
      </c>
      <c r="BP173" s="30" t="s">
        <v>245</v>
      </c>
      <c r="BQ173" s="30" t="s">
        <v>245</v>
      </c>
      <c r="BR173" s="30" t="s">
        <v>245</v>
      </c>
      <c r="BS173" s="30" t="s">
        <v>1620</v>
      </c>
      <c r="BT173" s="30" t="str">
        <f>HYPERLINK("https%3A%2F%2Fwww.webofscience.com%2Fwos%2Fwoscc%2Ffull-record%2FWOS:000512886800003","View Full Record in Web of Science")</f>
        <v>View Full Record in Web of Science</v>
      </c>
    </row>
    <row r="174" spans="1:72" x14ac:dyDescent="0.2">
      <c r="A174" s="30" t="s">
        <v>243</v>
      </c>
      <c r="B174" s="30" t="s">
        <v>1621</v>
      </c>
      <c r="C174" s="30" t="s">
        <v>245</v>
      </c>
      <c r="D174" s="30" t="s">
        <v>245</v>
      </c>
      <c r="E174" s="30" t="s">
        <v>245</v>
      </c>
      <c r="F174" s="30" t="s">
        <v>1622</v>
      </c>
      <c r="G174" s="30" t="s">
        <v>245</v>
      </c>
      <c r="H174" s="30" t="s">
        <v>245</v>
      </c>
      <c r="I174" s="30" t="s">
        <v>1623</v>
      </c>
      <c r="J174" s="30" t="s">
        <v>501</v>
      </c>
      <c r="K174" s="30" t="s">
        <v>245</v>
      </c>
      <c r="L174" s="30" t="s">
        <v>245</v>
      </c>
      <c r="M174" s="30" t="s">
        <v>245</v>
      </c>
      <c r="N174" s="30" t="s">
        <v>245</v>
      </c>
      <c r="O174" s="30" t="s">
        <v>245</v>
      </c>
      <c r="P174" s="30" t="s">
        <v>245</v>
      </c>
      <c r="Q174" s="30" t="s">
        <v>245</v>
      </c>
      <c r="R174" s="30" t="s">
        <v>245</v>
      </c>
      <c r="S174" s="30" t="s">
        <v>245</v>
      </c>
      <c r="T174" s="30" t="s">
        <v>245</v>
      </c>
      <c r="U174" s="30" t="s">
        <v>245</v>
      </c>
      <c r="V174" s="30" t="s">
        <v>245</v>
      </c>
      <c r="W174" s="30" t="s">
        <v>245</v>
      </c>
      <c r="X174" s="30" t="s">
        <v>245</v>
      </c>
      <c r="Y174" s="30" t="s">
        <v>245</v>
      </c>
      <c r="Z174" s="30" t="s">
        <v>245</v>
      </c>
      <c r="AA174" s="30" t="s">
        <v>1624</v>
      </c>
      <c r="AB174" s="30" t="s">
        <v>245</v>
      </c>
      <c r="AC174" s="30" t="s">
        <v>245</v>
      </c>
      <c r="AD174" s="30" t="s">
        <v>245</v>
      </c>
      <c r="AE174" s="30" t="s">
        <v>245</v>
      </c>
      <c r="AF174" s="30" t="s">
        <v>245</v>
      </c>
      <c r="AG174" s="30" t="s">
        <v>245</v>
      </c>
      <c r="AH174" s="30" t="s">
        <v>245</v>
      </c>
      <c r="AI174" s="30" t="s">
        <v>245</v>
      </c>
      <c r="AJ174" s="30" t="s">
        <v>245</v>
      </c>
      <c r="AK174" s="30" t="s">
        <v>245</v>
      </c>
      <c r="AL174" s="30" t="s">
        <v>245</v>
      </c>
      <c r="AM174" s="30" t="s">
        <v>245</v>
      </c>
      <c r="AN174" s="30" t="s">
        <v>245</v>
      </c>
      <c r="AO174" s="30" t="s">
        <v>504</v>
      </c>
      <c r="AP174" s="30" t="s">
        <v>505</v>
      </c>
      <c r="AQ174" s="30" t="s">
        <v>245</v>
      </c>
      <c r="AR174" s="30" t="s">
        <v>245</v>
      </c>
      <c r="AS174" s="30" t="s">
        <v>245</v>
      </c>
      <c r="AT174" s="30" t="s">
        <v>481</v>
      </c>
      <c r="AU174" s="30">
        <v>2019</v>
      </c>
      <c r="AV174" s="30">
        <v>144</v>
      </c>
      <c r="AW174" s="30" t="s">
        <v>245</v>
      </c>
      <c r="AX174" s="30" t="s">
        <v>245</v>
      </c>
      <c r="AY174" s="30" t="s">
        <v>245</v>
      </c>
      <c r="AZ174" s="30" t="s">
        <v>245</v>
      </c>
      <c r="BA174" s="30" t="s">
        <v>245</v>
      </c>
      <c r="BB174" s="30">
        <v>60</v>
      </c>
      <c r="BC174" s="30">
        <v>67</v>
      </c>
      <c r="BD174" s="30" t="s">
        <v>245</v>
      </c>
      <c r="BE174" s="30" t="s">
        <v>1625</v>
      </c>
      <c r="BF174" s="30" t="str">
        <f>HYPERLINK("http://dx.doi.org/10.1016/j.apsoil.2019.07.009","http://dx.doi.org/10.1016/j.apsoil.2019.07.009")</f>
        <v>http://dx.doi.org/10.1016/j.apsoil.2019.07.009</v>
      </c>
      <c r="BG174" s="30" t="s">
        <v>245</v>
      </c>
      <c r="BH174" s="30" t="s">
        <v>245</v>
      </c>
      <c r="BI174" s="30" t="s">
        <v>245</v>
      </c>
      <c r="BJ174" s="30" t="s">
        <v>245</v>
      </c>
      <c r="BK174" s="30" t="s">
        <v>245</v>
      </c>
      <c r="BL174" s="30" t="s">
        <v>245</v>
      </c>
      <c r="BM174" s="30" t="s">
        <v>245</v>
      </c>
      <c r="BN174" s="30" t="s">
        <v>245</v>
      </c>
      <c r="BO174" s="30" t="s">
        <v>245</v>
      </c>
      <c r="BP174" s="30" t="s">
        <v>245</v>
      </c>
      <c r="BQ174" s="30" t="s">
        <v>245</v>
      </c>
      <c r="BR174" s="30" t="s">
        <v>245</v>
      </c>
      <c r="BS174" s="30" t="s">
        <v>1626</v>
      </c>
      <c r="BT174" s="30" t="str">
        <f>HYPERLINK("https%3A%2F%2Fwww.webofscience.com%2Fwos%2Fwoscc%2Ffull-record%2FWOS:000485174500008","View Full Record in Web of Science")</f>
        <v>View Full Record in Web of Science</v>
      </c>
    </row>
    <row r="175" spans="1:72" x14ac:dyDescent="0.2">
      <c r="A175" s="30" t="s">
        <v>243</v>
      </c>
      <c r="B175" s="30" t="s">
        <v>1627</v>
      </c>
      <c r="C175" s="30" t="s">
        <v>245</v>
      </c>
      <c r="D175" s="30" t="s">
        <v>245</v>
      </c>
      <c r="E175" s="30" t="s">
        <v>245</v>
      </c>
      <c r="F175" s="30" t="s">
        <v>1628</v>
      </c>
      <c r="G175" s="30" t="s">
        <v>245</v>
      </c>
      <c r="H175" s="30" t="s">
        <v>245</v>
      </c>
      <c r="I175" s="30" t="s">
        <v>1629</v>
      </c>
      <c r="J175" s="30" t="s">
        <v>413</v>
      </c>
      <c r="K175" s="30" t="s">
        <v>245</v>
      </c>
      <c r="L175" s="30" t="s">
        <v>245</v>
      </c>
      <c r="M175" s="30" t="s">
        <v>245</v>
      </c>
      <c r="N175" s="30" t="s">
        <v>245</v>
      </c>
      <c r="O175" s="30" t="s">
        <v>245</v>
      </c>
      <c r="P175" s="30" t="s">
        <v>245</v>
      </c>
      <c r="Q175" s="30" t="s">
        <v>245</v>
      </c>
      <c r="R175" s="30" t="s">
        <v>245</v>
      </c>
      <c r="S175" s="30" t="s">
        <v>245</v>
      </c>
      <c r="T175" s="30" t="s">
        <v>245</v>
      </c>
      <c r="U175" s="30" t="s">
        <v>245</v>
      </c>
      <c r="V175" s="30" t="s">
        <v>245</v>
      </c>
      <c r="W175" s="30" t="s">
        <v>245</v>
      </c>
      <c r="X175" s="30" t="s">
        <v>245</v>
      </c>
      <c r="Y175" s="30" t="s">
        <v>245</v>
      </c>
      <c r="Z175" s="30" t="s">
        <v>245</v>
      </c>
      <c r="AA175" s="30" t="s">
        <v>245</v>
      </c>
      <c r="AB175" s="30" t="s">
        <v>1630</v>
      </c>
      <c r="AC175" s="30" t="s">
        <v>245</v>
      </c>
      <c r="AD175" s="30" t="s">
        <v>245</v>
      </c>
      <c r="AE175" s="30" t="s">
        <v>245</v>
      </c>
      <c r="AF175" s="30" t="s">
        <v>245</v>
      </c>
      <c r="AG175" s="30" t="s">
        <v>245</v>
      </c>
      <c r="AH175" s="30" t="s">
        <v>245</v>
      </c>
      <c r="AI175" s="30" t="s">
        <v>245</v>
      </c>
      <c r="AJ175" s="30" t="s">
        <v>245</v>
      </c>
      <c r="AK175" s="30" t="s">
        <v>245</v>
      </c>
      <c r="AL175" s="30" t="s">
        <v>245</v>
      </c>
      <c r="AM175" s="30" t="s">
        <v>245</v>
      </c>
      <c r="AN175" s="30" t="s">
        <v>245</v>
      </c>
      <c r="AO175" s="30" t="s">
        <v>416</v>
      </c>
      <c r="AP175" s="30" t="s">
        <v>417</v>
      </c>
      <c r="AQ175" s="30" t="s">
        <v>245</v>
      </c>
      <c r="AR175" s="30" t="s">
        <v>245</v>
      </c>
      <c r="AS175" s="30" t="s">
        <v>245</v>
      </c>
      <c r="AT175" s="30" t="s">
        <v>1631</v>
      </c>
      <c r="AU175" s="30">
        <v>2021</v>
      </c>
      <c r="AV175" s="30">
        <v>770</v>
      </c>
      <c r="AW175" s="30" t="s">
        <v>245</v>
      </c>
      <c r="AX175" s="30" t="s">
        <v>245</v>
      </c>
      <c r="AY175" s="30" t="s">
        <v>245</v>
      </c>
      <c r="AZ175" s="30" t="s">
        <v>245</v>
      </c>
      <c r="BA175" s="30" t="s">
        <v>245</v>
      </c>
      <c r="BB175" s="30" t="s">
        <v>245</v>
      </c>
      <c r="BC175" s="30" t="s">
        <v>245</v>
      </c>
      <c r="BD175" s="30">
        <v>143212</v>
      </c>
      <c r="BE175" s="30" t="s">
        <v>1632</v>
      </c>
      <c r="BF175" s="30" t="str">
        <f>HYPERLINK("http://dx.doi.org/10.1016/j.scitotenv.2020.143212","http://dx.doi.org/10.1016/j.scitotenv.2020.143212")</f>
        <v>http://dx.doi.org/10.1016/j.scitotenv.2020.143212</v>
      </c>
      <c r="BG175" s="30" t="s">
        <v>245</v>
      </c>
      <c r="BH175" s="30" t="s">
        <v>524</v>
      </c>
      <c r="BI175" s="30" t="s">
        <v>245</v>
      </c>
      <c r="BJ175" s="30" t="s">
        <v>245</v>
      </c>
      <c r="BK175" s="30" t="s">
        <v>245</v>
      </c>
      <c r="BL175" s="30" t="s">
        <v>245</v>
      </c>
      <c r="BM175" s="30" t="s">
        <v>245</v>
      </c>
      <c r="BN175" s="30">
        <v>33257072</v>
      </c>
      <c r="BO175" s="30" t="s">
        <v>245</v>
      </c>
      <c r="BP175" s="30" t="s">
        <v>245</v>
      </c>
      <c r="BQ175" s="30" t="s">
        <v>245</v>
      </c>
      <c r="BR175" s="30" t="s">
        <v>245</v>
      </c>
      <c r="BS175" s="30" t="s">
        <v>1633</v>
      </c>
      <c r="BT175" s="30" t="str">
        <f>HYPERLINK("https%3A%2F%2Fwww.webofscience.com%2Fwos%2Fwoscc%2Ffull-record%2FWOS:000627896100001","View Full Record in Web of Science")</f>
        <v>View Full Record in Web of Science</v>
      </c>
    </row>
    <row r="176" spans="1:72" x14ac:dyDescent="0.2">
      <c r="A176" s="30" t="s">
        <v>243</v>
      </c>
      <c r="B176" s="30" t="s">
        <v>1634</v>
      </c>
      <c r="C176" s="30" t="s">
        <v>245</v>
      </c>
      <c r="D176" s="30" t="s">
        <v>245</v>
      </c>
      <c r="E176" s="30" t="s">
        <v>245</v>
      </c>
      <c r="F176" s="30" t="s">
        <v>1635</v>
      </c>
      <c r="G176" s="30" t="s">
        <v>245</v>
      </c>
      <c r="H176" s="30" t="s">
        <v>245</v>
      </c>
      <c r="I176" s="30" t="s">
        <v>1636</v>
      </c>
      <c r="J176" s="30" t="s">
        <v>413</v>
      </c>
      <c r="K176" s="30" t="s">
        <v>245</v>
      </c>
      <c r="L176" s="30" t="s">
        <v>245</v>
      </c>
      <c r="M176" s="30" t="s">
        <v>245</v>
      </c>
      <c r="N176" s="30" t="s">
        <v>245</v>
      </c>
      <c r="O176" s="30" t="s">
        <v>245</v>
      </c>
      <c r="P176" s="30" t="s">
        <v>245</v>
      </c>
      <c r="Q176" s="30" t="s">
        <v>245</v>
      </c>
      <c r="R176" s="30" t="s">
        <v>245</v>
      </c>
      <c r="S176" s="30" t="s">
        <v>245</v>
      </c>
      <c r="T176" s="30" t="s">
        <v>245</v>
      </c>
      <c r="U176" s="30" t="s">
        <v>245</v>
      </c>
      <c r="V176" s="30" t="s">
        <v>245</v>
      </c>
      <c r="W176" s="30" t="s">
        <v>245</v>
      </c>
      <c r="X176" s="30" t="s">
        <v>245</v>
      </c>
      <c r="Y176" s="30" t="s">
        <v>245</v>
      </c>
      <c r="Z176" s="30" t="s">
        <v>245</v>
      </c>
      <c r="AA176" s="30" t="s">
        <v>1637</v>
      </c>
      <c r="AB176" s="30" t="s">
        <v>1638</v>
      </c>
      <c r="AC176" s="30" t="s">
        <v>245</v>
      </c>
      <c r="AD176" s="30" t="s">
        <v>245</v>
      </c>
      <c r="AE176" s="30" t="s">
        <v>245</v>
      </c>
      <c r="AF176" s="30" t="s">
        <v>245</v>
      </c>
      <c r="AG176" s="30" t="s">
        <v>245</v>
      </c>
      <c r="AH176" s="30" t="s">
        <v>245</v>
      </c>
      <c r="AI176" s="30" t="s">
        <v>245</v>
      </c>
      <c r="AJ176" s="30" t="s">
        <v>245</v>
      </c>
      <c r="AK176" s="30" t="s">
        <v>245</v>
      </c>
      <c r="AL176" s="30" t="s">
        <v>245</v>
      </c>
      <c r="AM176" s="30" t="s">
        <v>245</v>
      </c>
      <c r="AN176" s="30" t="s">
        <v>245</v>
      </c>
      <c r="AO176" s="30" t="s">
        <v>416</v>
      </c>
      <c r="AP176" s="30" t="s">
        <v>417</v>
      </c>
      <c r="AQ176" s="30" t="s">
        <v>245</v>
      </c>
      <c r="AR176" s="30" t="s">
        <v>245</v>
      </c>
      <c r="AS176" s="30" t="s">
        <v>245</v>
      </c>
      <c r="AT176" s="30" t="s">
        <v>1639</v>
      </c>
      <c r="AU176" s="30">
        <v>2023</v>
      </c>
      <c r="AV176" s="30">
        <v>868</v>
      </c>
      <c r="AW176" s="30" t="s">
        <v>245</v>
      </c>
      <c r="AX176" s="30" t="s">
        <v>245</v>
      </c>
      <c r="AY176" s="30" t="s">
        <v>245</v>
      </c>
      <c r="AZ176" s="30" t="s">
        <v>245</v>
      </c>
      <c r="BA176" s="30" t="s">
        <v>245</v>
      </c>
      <c r="BB176" s="30" t="s">
        <v>245</v>
      </c>
      <c r="BC176" s="30" t="s">
        <v>245</v>
      </c>
      <c r="BD176" s="30">
        <v>161500</v>
      </c>
      <c r="BE176" s="30" t="s">
        <v>1640</v>
      </c>
      <c r="BF176" s="30" t="str">
        <f>HYPERLINK("http://dx.doi.org/10.1016/j.scitotenv.2023.161500","http://dx.doi.org/10.1016/j.scitotenv.2023.161500")</f>
        <v>http://dx.doi.org/10.1016/j.scitotenv.2023.161500</v>
      </c>
      <c r="BG176" s="30" t="s">
        <v>245</v>
      </c>
      <c r="BH176" s="30" t="s">
        <v>1641</v>
      </c>
      <c r="BI176" s="30" t="s">
        <v>245</v>
      </c>
      <c r="BJ176" s="30" t="s">
        <v>245</v>
      </c>
      <c r="BK176" s="30" t="s">
        <v>245</v>
      </c>
      <c r="BL176" s="30" t="s">
        <v>245</v>
      </c>
      <c r="BM176" s="30" t="s">
        <v>245</v>
      </c>
      <c r="BN176" s="30">
        <v>36690113</v>
      </c>
      <c r="BO176" s="30" t="s">
        <v>245</v>
      </c>
      <c r="BP176" s="30" t="s">
        <v>245</v>
      </c>
      <c r="BQ176" s="30" t="s">
        <v>245</v>
      </c>
      <c r="BR176" s="30" t="s">
        <v>245</v>
      </c>
      <c r="BS176" s="30" t="s">
        <v>1642</v>
      </c>
      <c r="BT176" s="30" t="str">
        <f>HYPERLINK("https%3A%2F%2Fwww.webofscience.com%2Fwos%2Fwoscc%2Ffull-record%2FWOS:000926028500001","View Full Record in Web of Science")</f>
        <v>View Full Record in Web of Science</v>
      </c>
    </row>
    <row r="177" spans="1:72" x14ac:dyDescent="0.2">
      <c r="A177" s="30" t="s">
        <v>243</v>
      </c>
      <c r="B177" s="30" t="s">
        <v>1643</v>
      </c>
      <c r="C177" s="30" t="s">
        <v>245</v>
      </c>
      <c r="D177" s="30" t="s">
        <v>245</v>
      </c>
      <c r="E177" s="30" t="s">
        <v>245</v>
      </c>
      <c r="F177" s="30" t="s">
        <v>1644</v>
      </c>
      <c r="G177" s="30" t="s">
        <v>245</v>
      </c>
      <c r="H177" s="30" t="s">
        <v>245</v>
      </c>
      <c r="I177" s="30" t="s">
        <v>1645</v>
      </c>
      <c r="J177" s="30" t="s">
        <v>1646</v>
      </c>
      <c r="K177" s="30" t="s">
        <v>245</v>
      </c>
      <c r="L177" s="30" t="s">
        <v>245</v>
      </c>
      <c r="M177" s="30" t="s">
        <v>245</v>
      </c>
      <c r="N177" s="30" t="s">
        <v>245</v>
      </c>
      <c r="O177" s="30" t="s">
        <v>245</v>
      </c>
      <c r="P177" s="30" t="s">
        <v>245</v>
      </c>
      <c r="Q177" s="30" t="s">
        <v>245</v>
      </c>
      <c r="R177" s="30" t="s">
        <v>245</v>
      </c>
      <c r="S177" s="30" t="s">
        <v>245</v>
      </c>
      <c r="T177" s="30" t="s">
        <v>245</v>
      </c>
      <c r="U177" s="30" t="s">
        <v>245</v>
      </c>
      <c r="V177" s="30" t="s">
        <v>245</v>
      </c>
      <c r="W177" s="30" t="s">
        <v>245</v>
      </c>
      <c r="X177" s="30" t="s">
        <v>245</v>
      </c>
      <c r="Y177" s="30" t="s">
        <v>245</v>
      </c>
      <c r="Z177" s="30" t="s">
        <v>245</v>
      </c>
      <c r="AA177" s="30" t="s">
        <v>1647</v>
      </c>
      <c r="AB177" s="30" t="s">
        <v>1648</v>
      </c>
      <c r="AC177" s="30" t="s">
        <v>245</v>
      </c>
      <c r="AD177" s="30" t="s">
        <v>245</v>
      </c>
      <c r="AE177" s="30" t="s">
        <v>245</v>
      </c>
      <c r="AF177" s="30" t="s">
        <v>245</v>
      </c>
      <c r="AG177" s="30" t="s">
        <v>245</v>
      </c>
      <c r="AH177" s="30" t="s">
        <v>245</v>
      </c>
      <c r="AI177" s="30" t="s">
        <v>245</v>
      </c>
      <c r="AJ177" s="30" t="s">
        <v>245</v>
      </c>
      <c r="AK177" s="30" t="s">
        <v>245</v>
      </c>
      <c r="AL177" s="30" t="s">
        <v>245</v>
      </c>
      <c r="AM177" s="30" t="s">
        <v>245</v>
      </c>
      <c r="AN177" s="30" t="s">
        <v>245</v>
      </c>
      <c r="AO177" s="30" t="s">
        <v>1649</v>
      </c>
      <c r="AP177" s="30" t="s">
        <v>245</v>
      </c>
      <c r="AQ177" s="30" t="s">
        <v>245</v>
      </c>
      <c r="AR177" s="30" t="s">
        <v>245</v>
      </c>
      <c r="AS177" s="30" t="s">
        <v>245</v>
      </c>
      <c r="AT177" s="30" t="s">
        <v>245</v>
      </c>
      <c r="AU177" s="30">
        <v>2020</v>
      </c>
      <c r="AV177" s="30">
        <v>77</v>
      </c>
      <c r="AW177" s="30">
        <v>4</v>
      </c>
      <c r="AX177" s="30" t="s">
        <v>245</v>
      </c>
      <c r="AY177" s="30" t="s">
        <v>245</v>
      </c>
      <c r="AZ177" s="30" t="s">
        <v>245</v>
      </c>
      <c r="BA177" s="30" t="s">
        <v>245</v>
      </c>
      <c r="BB177" s="30" t="s">
        <v>245</v>
      </c>
      <c r="BC177" s="30" t="s">
        <v>245</v>
      </c>
      <c r="BD177" s="30" t="s">
        <v>1650</v>
      </c>
      <c r="BE177" s="30" t="s">
        <v>1651</v>
      </c>
      <c r="BF177" s="30" t="str">
        <f>HYPERLINK("http://dx.doi.org/10.1590/1678-992X-2018-0370","http://dx.doi.org/10.1590/1678-992X-2018-0370")</f>
        <v>http://dx.doi.org/10.1590/1678-992X-2018-0370</v>
      </c>
      <c r="BG177" s="30" t="s">
        <v>245</v>
      </c>
      <c r="BH177" s="30" t="s">
        <v>245</v>
      </c>
      <c r="BI177" s="30" t="s">
        <v>245</v>
      </c>
      <c r="BJ177" s="30" t="s">
        <v>245</v>
      </c>
      <c r="BK177" s="30" t="s">
        <v>245</v>
      </c>
      <c r="BL177" s="30" t="s">
        <v>245</v>
      </c>
      <c r="BM177" s="30" t="s">
        <v>245</v>
      </c>
      <c r="BN177" s="30" t="s">
        <v>245</v>
      </c>
      <c r="BO177" s="30" t="s">
        <v>245</v>
      </c>
      <c r="BP177" s="30" t="s">
        <v>245</v>
      </c>
      <c r="BQ177" s="30" t="s">
        <v>245</v>
      </c>
      <c r="BR177" s="30" t="s">
        <v>245</v>
      </c>
      <c r="BS177" s="30" t="s">
        <v>1652</v>
      </c>
      <c r="BT177" s="30" t="str">
        <f>HYPERLINK("https%3A%2F%2Fwww.webofscience.com%2Fwos%2Fwoscc%2Ffull-record%2FWOS:000494943000001","View Full Record in Web of Science")</f>
        <v>View Full Record in Web of Science</v>
      </c>
    </row>
    <row r="178" spans="1:72" x14ac:dyDescent="0.2">
      <c r="A178" s="30" t="s">
        <v>243</v>
      </c>
      <c r="B178" s="30" t="s">
        <v>1653</v>
      </c>
      <c r="C178" s="30" t="s">
        <v>245</v>
      </c>
      <c r="D178" s="30" t="s">
        <v>245</v>
      </c>
      <c r="E178" s="30" t="s">
        <v>245</v>
      </c>
      <c r="F178" s="30" t="s">
        <v>1654</v>
      </c>
      <c r="G178" s="30" t="s">
        <v>245</v>
      </c>
      <c r="H178" s="30" t="s">
        <v>245</v>
      </c>
      <c r="I178" s="30" t="s">
        <v>1655</v>
      </c>
      <c r="J178" s="30" t="s">
        <v>1656</v>
      </c>
      <c r="K178" s="30" t="s">
        <v>245</v>
      </c>
      <c r="L178" s="30" t="s">
        <v>245</v>
      </c>
      <c r="M178" s="30" t="s">
        <v>245</v>
      </c>
      <c r="N178" s="30" t="s">
        <v>245</v>
      </c>
      <c r="O178" s="30" t="s">
        <v>245</v>
      </c>
      <c r="P178" s="30" t="s">
        <v>245</v>
      </c>
      <c r="Q178" s="30" t="s">
        <v>245</v>
      </c>
      <c r="R178" s="30" t="s">
        <v>245</v>
      </c>
      <c r="S178" s="30" t="s">
        <v>245</v>
      </c>
      <c r="T178" s="30" t="s">
        <v>245</v>
      </c>
      <c r="U178" s="30" t="s">
        <v>245</v>
      </c>
      <c r="V178" s="30" t="s">
        <v>245</v>
      </c>
      <c r="W178" s="30" t="s">
        <v>245</v>
      </c>
      <c r="X178" s="30" t="s">
        <v>245</v>
      </c>
      <c r="Y178" s="30" t="s">
        <v>245</v>
      </c>
      <c r="Z178" s="30" t="s">
        <v>245</v>
      </c>
      <c r="AA178" s="30" t="s">
        <v>1657</v>
      </c>
      <c r="AB178" s="30" t="s">
        <v>245</v>
      </c>
      <c r="AC178" s="30" t="s">
        <v>245</v>
      </c>
      <c r="AD178" s="30" t="s">
        <v>245</v>
      </c>
      <c r="AE178" s="30" t="s">
        <v>245</v>
      </c>
      <c r="AF178" s="30" t="s">
        <v>245</v>
      </c>
      <c r="AG178" s="30" t="s">
        <v>245</v>
      </c>
      <c r="AH178" s="30" t="s">
        <v>245</v>
      </c>
      <c r="AI178" s="30" t="s">
        <v>245</v>
      </c>
      <c r="AJ178" s="30" t="s">
        <v>245</v>
      </c>
      <c r="AK178" s="30" t="s">
        <v>245</v>
      </c>
      <c r="AL178" s="30" t="s">
        <v>245</v>
      </c>
      <c r="AM178" s="30" t="s">
        <v>245</v>
      </c>
      <c r="AN178" s="30" t="s">
        <v>245</v>
      </c>
      <c r="AO178" s="30" t="s">
        <v>1658</v>
      </c>
      <c r="AP178" s="30" t="s">
        <v>1659</v>
      </c>
      <c r="AQ178" s="30" t="s">
        <v>245</v>
      </c>
      <c r="AR178" s="30" t="s">
        <v>245</v>
      </c>
      <c r="AS178" s="30" t="s">
        <v>245</v>
      </c>
      <c r="AT178" s="30" t="s">
        <v>487</v>
      </c>
      <c r="AU178" s="30">
        <v>2017</v>
      </c>
      <c r="AV178" s="30">
        <v>19</v>
      </c>
      <c r="AW178" s="30">
        <v>3</v>
      </c>
      <c r="AX178" s="30" t="s">
        <v>245</v>
      </c>
      <c r="AY178" s="30" t="s">
        <v>245</v>
      </c>
      <c r="AZ178" s="30" t="s">
        <v>245</v>
      </c>
      <c r="BA178" s="30" t="s">
        <v>245</v>
      </c>
      <c r="BB178" s="30">
        <v>1189</v>
      </c>
      <c r="BC178" s="30">
        <v>1208</v>
      </c>
      <c r="BD178" s="30" t="s">
        <v>245</v>
      </c>
      <c r="BE178" s="30" t="s">
        <v>1660</v>
      </c>
      <c r="BF178" s="30" t="str">
        <f>HYPERLINK("http://dx.doi.org/10.1111/1462-2920.13643","http://dx.doi.org/10.1111/1462-2920.13643")</f>
        <v>http://dx.doi.org/10.1111/1462-2920.13643</v>
      </c>
      <c r="BG178" s="30" t="s">
        <v>245</v>
      </c>
      <c r="BH178" s="30" t="s">
        <v>245</v>
      </c>
      <c r="BI178" s="30" t="s">
        <v>245</v>
      </c>
      <c r="BJ178" s="30" t="s">
        <v>245</v>
      </c>
      <c r="BK178" s="30" t="s">
        <v>245</v>
      </c>
      <c r="BL178" s="30" t="s">
        <v>245</v>
      </c>
      <c r="BM178" s="30" t="s">
        <v>245</v>
      </c>
      <c r="BN178" s="30">
        <v>27943515</v>
      </c>
      <c r="BO178" s="30" t="s">
        <v>245</v>
      </c>
      <c r="BP178" s="30" t="s">
        <v>245</v>
      </c>
      <c r="BQ178" s="30" t="s">
        <v>245</v>
      </c>
      <c r="BR178" s="30" t="s">
        <v>245</v>
      </c>
      <c r="BS178" s="30" t="s">
        <v>1661</v>
      </c>
      <c r="BT178" s="30" t="str">
        <f>HYPERLINK("https%3A%2F%2Fwww.webofscience.com%2Fwos%2Fwoscc%2Ffull-record%2FWOS:000397525100029","View Full Record in Web of Science")</f>
        <v>View Full Record in Web of Science</v>
      </c>
    </row>
    <row r="179" spans="1:72" x14ac:dyDescent="0.2">
      <c r="A179" s="30" t="s">
        <v>243</v>
      </c>
      <c r="B179" s="30" t="s">
        <v>1662</v>
      </c>
      <c r="C179" s="30" t="s">
        <v>245</v>
      </c>
      <c r="D179" s="30" t="s">
        <v>245</v>
      </c>
      <c r="E179" s="30" t="s">
        <v>245</v>
      </c>
      <c r="F179" s="30" t="s">
        <v>1663</v>
      </c>
      <c r="G179" s="30" t="s">
        <v>245</v>
      </c>
      <c r="H179" s="30" t="s">
        <v>245</v>
      </c>
      <c r="I179" s="30" t="s">
        <v>1664</v>
      </c>
      <c r="J179" s="30" t="s">
        <v>432</v>
      </c>
      <c r="K179" s="30" t="s">
        <v>245</v>
      </c>
      <c r="L179" s="30" t="s">
        <v>245</v>
      </c>
      <c r="M179" s="30" t="s">
        <v>245</v>
      </c>
      <c r="N179" s="30" t="s">
        <v>245</v>
      </c>
      <c r="O179" s="30" t="s">
        <v>245</v>
      </c>
      <c r="P179" s="30" t="s">
        <v>245</v>
      </c>
      <c r="Q179" s="30" t="s">
        <v>245</v>
      </c>
      <c r="R179" s="30" t="s">
        <v>245</v>
      </c>
      <c r="S179" s="30" t="s">
        <v>245</v>
      </c>
      <c r="T179" s="30" t="s">
        <v>245</v>
      </c>
      <c r="U179" s="30" t="s">
        <v>245</v>
      </c>
      <c r="V179" s="30" t="s">
        <v>245</v>
      </c>
      <c r="W179" s="30" t="s">
        <v>245</v>
      </c>
      <c r="X179" s="30" t="s">
        <v>245</v>
      </c>
      <c r="Y179" s="30" t="s">
        <v>245</v>
      </c>
      <c r="Z179" s="30" t="s">
        <v>245</v>
      </c>
      <c r="AA179" s="30" t="s">
        <v>1665</v>
      </c>
      <c r="AB179" s="30" t="s">
        <v>1666</v>
      </c>
      <c r="AC179" s="30" t="s">
        <v>245</v>
      </c>
      <c r="AD179" s="30" t="s">
        <v>245</v>
      </c>
      <c r="AE179" s="30" t="s">
        <v>245</v>
      </c>
      <c r="AF179" s="30" t="s">
        <v>245</v>
      </c>
      <c r="AG179" s="30" t="s">
        <v>245</v>
      </c>
      <c r="AH179" s="30" t="s">
        <v>245</v>
      </c>
      <c r="AI179" s="30" t="s">
        <v>245</v>
      </c>
      <c r="AJ179" s="30" t="s">
        <v>245</v>
      </c>
      <c r="AK179" s="30" t="s">
        <v>245</v>
      </c>
      <c r="AL179" s="30" t="s">
        <v>245</v>
      </c>
      <c r="AM179" s="30" t="s">
        <v>245</v>
      </c>
      <c r="AN179" s="30" t="s">
        <v>245</v>
      </c>
      <c r="AO179" s="30" t="s">
        <v>433</v>
      </c>
      <c r="AP179" s="30" t="s">
        <v>434</v>
      </c>
      <c r="AQ179" s="30" t="s">
        <v>245</v>
      </c>
      <c r="AR179" s="30" t="s">
        <v>245</v>
      </c>
      <c r="AS179" s="30" t="s">
        <v>245</v>
      </c>
      <c r="AT179" s="30" t="s">
        <v>265</v>
      </c>
      <c r="AU179" s="30">
        <v>2023</v>
      </c>
      <c r="AV179" s="30">
        <v>487</v>
      </c>
      <c r="AW179" s="30" t="s">
        <v>436</v>
      </c>
      <c r="AX179" s="30" t="s">
        <v>245</v>
      </c>
      <c r="AY179" s="30" t="s">
        <v>245</v>
      </c>
      <c r="AZ179" s="30" t="s">
        <v>245</v>
      </c>
      <c r="BA179" s="30" t="s">
        <v>245</v>
      </c>
      <c r="BB179" s="30">
        <v>197</v>
      </c>
      <c r="BC179" s="30">
        <v>212</v>
      </c>
      <c r="BD179" s="30" t="s">
        <v>245</v>
      </c>
      <c r="BE179" s="30" t="s">
        <v>1667</v>
      </c>
      <c r="BF179" s="30" t="str">
        <f>HYPERLINK("http://dx.doi.org/10.1007/s11104-023-05913-y","http://dx.doi.org/10.1007/s11104-023-05913-y")</f>
        <v>http://dx.doi.org/10.1007/s11104-023-05913-y</v>
      </c>
      <c r="BG179" s="30" t="s">
        <v>245</v>
      </c>
      <c r="BH179" s="30" t="s">
        <v>1668</v>
      </c>
      <c r="BI179" s="30" t="s">
        <v>245</v>
      </c>
      <c r="BJ179" s="30" t="s">
        <v>245</v>
      </c>
      <c r="BK179" s="30" t="s">
        <v>245</v>
      </c>
      <c r="BL179" s="30" t="s">
        <v>245</v>
      </c>
      <c r="BM179" s="30" t="s">
        <v>245</v>
      </c>
      <c r="BN179" s="30" t="s">
        <v>245</v>
      </c>
      <c r="BO179" s="30" t="s">
        <v>245</v>
      </c>
      <c r="BP179" s="30" t="s">
        <v>245</v>
      </c>
      <c r="BQ179" s="30" t="s">
        <v>245</v>
      </c>
      <c r="BR179" s="30" t="s">
        <v>245</v>
      </c>
      <c r="BS179" s="30" t="s">
        <v>1669</v>
      </c>
      <c r="BT179" s="30" t="str">
        <f>HYPERLINK("https%3A%2F%2Fwww.webofscience.com%2Fwos%2Fwoscc%2Ffull-record%2FWOS:000929264400001","View Full Record in Web of Science")</f>
        <v>View Full Record in Web of Science</v>
      </c>
    </row>
    <row r="180" spans="1:72" x14ac:dyDescent="0.2">
      <c r="A180" s="30" t="s">
        <v>243</v>
      </c>
      <c r="B180" s="30" t="s">
        <v>1670</v>
      </c>
      <c r="C180" s="30" t="s">
        <v>245</v>
      </c>
      <c r="D180" s="30" t="s">
        <v>245</v>
      </c>
      <c r="E180" s="30" t="s">
        <v>245</v>
      </c>
      <c r="F180" s="30" t="s">
        <v>1671</v>
      </c>
      <c r="G180" s="30" t="s">
        <v>245</v>
      </c>
      <c r="H180" s="30" t="s">
        <v>245</v>
      </c>
      <c r="I180" s="30" t="s">
        <v>1672</v>
      </c>
      <c r="J180" s="30" t="s">
        <v>986</v>
      </c>
      <c r="K180" s="30" t="s">
        <v>245</v>
      </c>
      <c r="L180" s="30" t="s">
        <v>245</v>
      </c>
      <c r="M180" s="30" t="s">
        <v>245</v>
      </c>
      <c r="N180" s="30" t="s">
        <v>245</v>
      </c>
      <c r="O180" s="30" t="s">
        <v>245</v>
      </c>
      <c r="P180" s="30" t="s">
        <v>245</v>
      </c>
      <c r="Q180" s="30" t="s">
        <v>245</v>
      </c>
      <c r="R180" s="30" t="s">
        <v>245</v>
      </c>
      <c r="S180" s="30" t="s">
        <v>245</v>
      </c>
      <c r="T180" s="30" t="s">
        <v>245</v>
      </c>
      <c r="U180" s="30" t="s">
        <v>245</v>
      </c>
      <c r="V180" s="30" t="s">
        <v>245</v>
      </c>
      <c r="W180" s="30" t="s">
        <v>245</v>
      </c>
      <c r="X180" s="30" t="s">
        <v>245</v>
      </c>
      <c r="Y180" s="30" t="s">
        <v>245</v>
      </c>
      <c r="Z180" s="30" t="s">
        <v>245</v>
      </c>
      <c r="AA180" s="30" t="s">
        <v>1673</v>
      </c>
      <c r="AB180" s="30" t="s">
        <v>1674</v>
      </c>
      <c r="AC180" s="30" t="s">
        <v>245</v>
      </c>
      <c r="AD180" s="30" t="s">
        <v>245</v>
      </c>
      <c r="AE180" s="30" t="s">
        <v>245</v>
      </c>
      <c r="AF180" s="30" t="s">
        <v>245</v>
      </c>
      <c r="AG180" s="30" t="s">
        <v>245</v>
      </c>
      <c r="AH180" s="30" t="s">
        <v>245</v>
      </c>
      <c r="AI180" s="30" t="s">
        <v>245</v>
      </c>
      <c r="AJ180" s="30" t="s">
        <v>245</v>
      </c>
      <c r="AK180" s="30" t="s">
        <v>245</v>
      </c>
      <c r="AL180" s="30" t="s">
        <v>245</v>
      </c>
      <c r="AM180" s="30" t="s">
        <v>245</v>
      </c>
      <c r="AN180" s="30" t="s">
        <v>245</v>
      </c>
      <c r="AO180" s="30" t="s">
        <v>987</v>
      </c>
      <c r="AP180" s="30" t="s">
        <v>988</v>
      </c>
      <c r="AQ180" s="30" t="s">
        <v>245</v>
      </c>
      <c r="AR180" s="30" t="s">
        <v>245</v>
      </c>
      <c r="AS180" s="30" t="s">
        <v>245</v>
      </c>
      <c r="AT180" s="30" t="s">
        <v>454</v>
      </c>
      <c r="AU180" s="30">
        <v>2011</v>
      </c>
      <c r="AV180" s="30">
        <v>77</v>
      </c>
      <c r="AW180" s="30">
        <v>17</v>
      </c>
      <c r="AX180" s="30" t="s">
        <v>245</v>
      </c>
      <c r="AY180" s="30" t="s">
        <v>245</v>
      </c>
      <c r="AZ180" s="30" t="s">
        <v>245</v>
      </c>
      <c r="BA180" s="30" t="s">
        <v>245</v>
      </c>
      <c r="BB180" s="30">
        <v>5835</v>
      </c>
      <c r="BC180" s="30">
        <v>5841</v>
      </c>
      <c r="BD180" s="30" t="s">
        <v>245</v>
      </c>
      <c r="BE180" s="30" t="s">
        <v>1675</v>
      </c>
      <c r="BF180" s="30" t="str">
        <f>HYPERLINK("http://dx.doi.org/10.1128/AEM.05341-11","http://dx.doi.org/10.1128/AEM.05341-11")</f>
        <v>http://dx.doi.org/10.1128/AEM.05341-11</v>
      </c>
      <c r="BG180" s="30" t="s">
        <v>245</v>
      </c>
      <c r="BH180" s="30" t="s">
        <v>245</v>
      </c>
      <c r="BI180" s="30" t="s">
        <v>245</v>
      </c>
      <c r="BJ180" s="30" t="s">
        <v>245</v>
      </c>
      <c r="BK180" s="30" t="s">
        <v>245</v>
      </c>
      <c r="BL180" s="30" t="s">
        <v>245</v>
      </c>
      <c r="BM180" s="30" t="s">
        <v>245</v>
      </c>
      <c r="BN180" s="30">
        <v>21724884</v>
      </c>
      <c r="BO180" s="30" t="s">
        <v>245</v>
      </c>
      <c r="BP180" s="30" t="s">
        <v>245</v>
      </c>
      <c r="BQ180" s="30" t="s">
        <v>245</v>
      </c>
      <c r="BR180" s="30" t="s">
        <v>245</v>
      </c>
      <c r="BS180" s="30" t="s">
        <v>1676</v>
      </c>
      <c r="BT180" s="30" t="str">
        <f>HYPERLINK("https%3A%2F%2Fwww.webofscience.com%2Fwos%2Fwoscc%2Ffull-record%2FWOS:000294205700001","View Full Record in Web of Science")</f>
        <v>View Full Record in Web of Science</v>
      </c>
    </row>
    <row r="181" spans="1:72" x14ac:dyDescent="0.2">
      <c r="A181" s="30" t="s">
        <v>243</v>
      </c>
      <c r="B181" s="30" t="s">
        <v>1677</v>
      </c>
      <c r="C181" s="30" t="s">
        <v>245</v>
      </c>
      <c r="D181" s="30" t="s">
        <v>245</v>
      </c>
      <c r="E181" s="30" t="s">
        <v>245</v>
      </c>
      <c r="F181" s="30" t="s">
        <v>1678</v>
      </c>
      <c r="G181" s="30" t="s">
        <v>245</v>
      </c>
      <c r="H181" s="30" t="s">
        <v>245</v>
      </c>
      <c r="I181" s="30" t="s">
        <v>1679</v>
      </c>
      <c r="J181" s="30" t="s">
        <v>336</v>
      </c>
      <c r="K181" s="30" t="s">
        <v>245</v>
      </c>
      <c r="L181" s="30" t="s">
        <v>245</v>
      </c>
      <c r="M181" s="30" t="s">
        <v>245</v>
      </c>
      <c r="N181" s="30" t="s">
        <v>245</v>
      </c>
      <c r="O181" s="30" t="s">
        <v>245</v>
      </c>
      <c r="P181" s="30" t="s">
        <v>245</v>
      </c>
      <c r="Q181" s="30" t="s">
        <v>245</v>
      </c>
      <c r="R181" s="30" t="s">
        <v>245</v>
      </c>
      <c r="S181" s="30" t="s">
        <v>245</v>
      </c>
      <c r="T181" s="30" t="s">
        <v>245</v>
      </c>
      <c r="U181" s="30" t="s">
        <v>245</v>
      </c>
      <c r="V181" s="30" t="s">
        <v>245</v>
      </c>
      <c r="W181" s="30" t="s">
        <v>245</v>
      </c>
      <c r="X181" s="30" t="s">
        <v>245</v>
      </c>
      <c r="Y181" s="30" t="s">
        <v>245</v>
      </c>
      <c r="Z181" s="30" t="s">
        <v>245</v>
      </c>
      <c r="AA181" s="30" t="s">
        <v>245</v>
      </c>
      <c r="AB181" s="30" t="s">
        <v>1680</v>
      </c>
      <c r="AC181" s="30" t="s">
        <v>245</v>
      </c>
      <c r="AD181" s="30" t="s">
        <v>245</v>
      </c>
      <c r="AE181" s="30" t="s">
        <v>245</v>
      </c>
      <c r="AF181" s="30" t="s">
        <v>245</v>
      </c>
      <c r="AG181" s="30" t="s">
        <v>245</v>
      </c>
      <c r="AH181" s="30" t="s">
        <v>245</v>
      </c>
      <c r="AI181" s="30" t="s">
        <v>245</v>
      </c>
      <c r="AJ181" s="30" t="s">
        <v>245</v>
      </c>
      <c r="AK181" s="30" t="s">
        <v>245</v>
      </c>
      <c r="AL181" s="30" t="s">
        <v>245</v>
      </c>
      <c r="AM181" s="30" t="s">
        <v>245</v>
      </c>
      <c r="AN181" s="30" t="s">
        <v>245</v>
      </c>
      <c r="AO181" s="30" t="s">
        <v>343</v>
      </c>
      <c r="AP181" s="30" t="s">
        <v>344</v>
      </c>
      <c r="AQ181" s="30" t="s">
        <v>245</v>
      </c>
      <c r="AR181" s="30" t="s">
        <v>245</v>
      </c>
      <c r="AS181" s="30" t="s">
        <v>245</v>
      </c>
      <c r="AT181" s="30" t="s">
        <v>646</v>
      </c>
      <c r="AU181" s="30">
        <v>2022</v>
      </c>
      <c r="AV181" s="30">
        <v>123</v>
      </c>
      <c r="AW181" s="30">
        <v>3</v>
      </c>
      <c r="AX181" s="30" t="s">
        <v>245</v>
      </c>
      <c r="AY181" s="30" t="s">
        <v>245</v>
      </c>
      <c r="AZ181" s="30" t="s">
        <v>245</v>
      </c>
      <c r="BA181" s="30" t="s">
        <v>245</v>
      </c>
      <c r="BB181" s="30">
        <v>119</v>
      </c>
      <c r="BC181" s="30">
        <v>135</v>
      </c>
      <c r="BD181" s="30" t="s">
        <v>245</v>
      </c>
      <c r="BE181" s="30" t="s">
        <v>1681</v>
      </c>
      <c r="BF181" s="30" t="str">
        <f>HYPERLINK("http://dx.doi.org/10.1007/s10705-022-10211-7","http://dx.doi.org/10.1007/s10705-022-10211-7")</f>
        <v>http://dx.doi.org/10.1007/s10705-022-10211-7</v>
      </c>
      <c r="BG181" s="30" t="s">
        <v>245</v>
      </c>
      <c r="BH181" s="30" t="s">
        <v>1682</v>
      </c>
      <c r="BI181" s="30" t="s">
        <v>245</v>
      </c>
      <c r="BJ181" s="30" t="s">
        <v>245</v>
      </c>
      <c r="BK181" s="30" t="s">
        <v>245</v>
      </c>
      <c r="BL181" s="30" t="s">
        <v>245</v>
      </c>
      <c r="BM181" s="30" t="s">
        <v>245</v>
      </c>
      <c r="BN181" s="30" t="s">
        <v>245</v>
      </c>
      <c r="BO181" s="30" t="s">
        <v>245</v>
      </c>
      <c r="BP181" s="30" t="s">
        <v>245</v>
      </c>
      <c r="BQ181" s="30" t="s">
        <v>245</v>
      </c>
      <c r="BR181" s="30" t="s">
        <v>245</v>
      </c>
      <c r="BS181" s="30" t="s">
        <v>1683</v>
      </c>
      <c r="BT181" s="30" t="str">
        <f>HYPERLINK("https%3A%2F%2Fwww.webofscience.com%2Fwos%2Fwoscc%2Ffull-record%2FWOS:000818599100001","View Full Record in Web of Science")</f>
        <v>View Full Record in Web of Science</v>
      </c>
    </row>
    <row r="182" spans="1:72" x14ac:dyDescent="0.2">
      <c r="A182" s="30" t="s">
        <v>243</v>
      </c>
      <c r="B182" s="30" t="s">
        <v>1684</v>
      </c>
      <c r="C182" s="30" t="s">
        <v>245</v>
      </c>
      <c r="D182" s="30" t="s">
        <v>245</v>
      </c>
      <c r="E182" s="30" t="s">
        <v>245</v>
      </c>
      <c r="F182" s="30" t="s">
        <v>1685</v>
      </c>
      <c r="G182" s="30" t="s">
        <v>245</v>
      </c>
      <c r="H182" s="30" t="s">
        <v>245</v>
      </c>
      <c r="I182" s="30" t="s">
        <v>1686</v>
      </c>
      <c r="J182" s="30" t="s">
        <v>501</v>
      </c>
      <c r="K182" s="30" t="s">
        <v>245</v>
      </c>
      <c r="L182" s="30" t="s">
        <v>245</v>
      </c>
      <c r="M182" s="30" t="s">
        <v>245</v>
      </c>
      <c r="N182" s="30" t="s">
        <v>245</v>
      </c>
      <c r="O182" s="30" t="s">
        <v>245</v>
      </c>
      <c r="P182" s="30" t="s">
        <v>245</v>
      </c>
      <c r="Q182" s="30" t="s">
        <v>245</v>
      </c>
      <c r="R182" s="30" t="s">
        <v>245</v>
      </c>
      <c r="S182" s="30" t="s">
        <v>245</v>
      </c>
      <c r="T182" s="30" t="s">
        <v>245</v>
      </c>
      <c r="U182" s="30" t="s">
        <v>245</v>
      </c>
      <c r="V182" s="30" t="s">
        <v>245</v>
      </c>
      <c r="W182" s="30" t="s">
        <v>245</v>
      </c>
      <c r="X182" s="30" t="s">
        <v>245</v>
      </c>
      <c r="Y182" s="30" t="s">
        <v>245</v>
      </c>
      <c r="Z182" s="30" t="s">
        <v>245</v>
      </c>
      <c r="AA182" s="30" t="s">
        <v>1687</v>
      </c>
      <c r="AB182" s="30" t="s">
        <v>1688</v>
      </c>
      <c r="AC182" s="30" t="s">
        <v>245</v>
      </c>
      <c r="AD182" s="30" t="s">
        <v>245</v>
      </c>
      <c r="AE182" s="30" t="s">
        <v>245</v>
      </c>
      <c r="AF182" s="30" t="s">
        <v>245</v>
      </c>
      <c r="AG182" s="30" t="s">
        <v>245</v>
      </c>
      <c r="AH182" s="30" t="s">
        <v>245</v>
      </c>
      <c r="AI182" s="30" t="s">
        <v>245</v>
      </c>
      <c r="AJ182" s="30" t="s">
        <v>245</v>
      </c>
      <c r="AK182" s="30" t="s">
        <v>245</v>
      </c>
      <c r="AL182" s="30" t="s">
        <v>245</v>
      </c>
      <c r="AM182" s="30" t="s">
        <v>245</v>
      </c>
      <c r="AN182" s="30" t="s">
        <v>245</v>
      </c>
      <c r="AO182" s="30" t="s">
        <v>504</v>
      </c>
      <c r="AP182" s="30" t="s">
        <v>505</v>
      </c>
      <c r="AQ182" s="30" t="s">
        <v>245</v>
      </c>
      <c r="AR182" s="30" t="s">
        <v>245</v>
      </c>
      <c r="AS182" s="30" t="s">
        <v>245</v>
      </c>
      <c r="AT182" s="30" t="s">
        <v>297</v>
      </c>
      <c r="AU182" s="30">
        <v>2019</v>
      </c>
      <c r="AV182" s="30">
        <v>142</v>
      </c>
      <c r="AW182" s="30" t="s">
        <v>245</v>
      </c>
      <c r="AX182" s="30" t="s">
        <v>245</v>
      </c>
      <c r="AY182" s="30" t="s">
        <v>245</v>
      </c>
      <c r="AZ182" s="30" t="s">
        <v>245</v>
      </c>
      <c r="BA182" s="30" t="s">
        <v>245</v>
      </c>
      <c r="BB182" s="30">
        <v>189</v>
      </c>
      <c r="BC182" s="30">
        <v>198</v>
      </c>
      <c r="BD182" s="30" t="s">
        <v>245</v>
      </c>
      <c r="BE182" s="30" t="s">
        <v>1689</v>
      </c>
      <c r="BF182" s="30" t="str">
        <f>HYPERLINK("http://dx.doi.org/10.1016/j.apsoil.2019.04.012","http://dx.doi.org/10.1016/j.apsoil.2019.04.012")</f>
        <v>http://dx.doi.org/10.1016/j.apsoil.2019.04.012</v>
      </c>
      <c r="BG182" s="30" t="s">
        <v>245</v>
      </c>
      <c r="BH182" s="30" t="s">
        <v>245</v>
      </c>
      <c r="BI182" s="30" t="s">
        <v>245</v>
      </c>
      <c r="BJ182" s="30" t="s">
        <v>245</v>
      </c>
      <c r="BK182" s="30" t="s">
        <v>245</v>
      </c>
      <c r="BL182" s="30" t="s">
        <v>245</v>
      </c>
      <c r="BM182" s="30" t="s">
        <v>245</v>
      </c>
      <c r="BN182" s="30" t="s">
        <v>245</v>
      </c>
      <c r="BO182" s="30" t="s">
        <v>245</v>
      </c>
      <c r="BP182" s="30" t="s">
        <v>245</v>
      </c>
      <c r="BQ182" s="30" t="s">
        <v>245</v>
      </c>
      <c r="BR182" s="30" t="s">
        <v>245</v>
      </c>
      <c r="BS182" s="30" t="s">
        <v>1690</v>
      </c>
      <c r="BT182" s="30" t="str">
        <f>HYPERLINK("https%3A%2F%2Fwww.webofscience.com%2Fwos%2Fwoscc%2Ffull-record%2FWOS:000470824300021","View Full Record in Web of Science")</f>
        <v>View Full Record in Web of Science</v>
      </c>
    </row>
    <row r="183" spans="1:72" x14ac:dyDescent="0.2">
      <c r="A183" s="30" t="s">
        <v>243</v>
      </c>
      <c r="B183" s="30" t="s">
        <v>1691</v>
      </c>
      <c r="C183" s="30" t="s">
        <v>245</v>
      </c>
      <c r="D183" s="30" t="s">
        <v>245</v>
      </c>
      <c r="E183" s="30" t="s">
        <v>245</v>
      </c>
      <c r="F183" s="30" t="s">
        <v>1692</v>
      </c>
      <c r="G183" s="30" t="s">
        <v>245</v>
      </c>
      <c r="H183" s="30" t="s">
        <v>245</v>
      </c>
      <c r="I183" s="30" t="s">
        <v>1693</v>
      </c>
      <c r="J183" s="30" t="s">
        <v>1549</v>
      </c>
      <c r="K183" s="30" t="s">
        <v>245</v>
      </c>
      <c r="L183" s="30" t="s">
        <v>245</v>
      </c>
      <c r="M183" s="30" t="s">
        <v>245</v>
      </c>
      <c r="N183" s="30" t="s">
        <v>245</v>
      </c>
      <c r="O183" s="30" t="s">
        <v>245</v>
      </c>
      <c r="P183" s="30" t="s">
        <v>245</v>
      </c>
      <c r="Q183" s="30" t="s">
        <v>245</v>
      </c>
      <c r="R183" s="30" t="s">
        <v>245</v>
      </c>
      <c r="S183" s="30" t="s">
        <v>245</v>
      </c>
      <c r="T183" s="30" t="s">
        <v>245</v>
      </c>
      <c r="U183" s="30" t="s">
        <v>245</v>
      </c>
      <c r="V183" s="30" t="s">
        <v>245</v>
      </c>
      <c r="W183" s="30" t="s">
        <v>245</v>
      </c>
      <c r="X183" s="30" t="s">
        <v>245</v>
      </c>
      <c r="Y183" s="30" t="s">
        <v>245</v>
      </c>
      <c r="Z183" s="30" t="s">
        <v>245</v>
      </c>
      <c r="AA183" s="30" t="s">
        <v>1694</v>
      </c>
      <c r="AB183" s="30" t="s">
        <v>245</v>
      </c>
      <c r="AC183" s="30" t="s">
        <v>245</v>
      </c>
      <c r="AD183" s="30" t="s">
        <v>245</v>
      </c>
      <c r="AE183" s="30" t="s">
        <v>245</v>
      </c>
      <c r="AF183" s="30" t="s">
        <v>245</v>
      </c>
      <c r="AG183" s="30" t="s">
        <v>245</v>
      </c>
      <c r="AH183" s="30" t="s">
        <v>245</v>
      </c>
      <c r="AI183" s="30" t="s">
        <v>245</v>
      </c>
      <c r="AJ183" s="30" t="s">
        <v>245</v>
      </c>
      <c r="AK183" s="30" t="s">
        <v>245</v>
      </c>
      <c r="AL183" s="30" t="s">
        <v>245</v>
      </c>
      <c r="AM183" s="30" t="s">
        <v>245</v>
      </c>
      <c r="AN183" s="30" t="s">
        <v>245</v>
      </c>
      <c r="AO183" s="30" t="s">
        <v>1551</v>
      </c>
      <c r="AP183" s="30" t="s">
        <v>1552</v>
      </c>
      <c r="AQ183" s="30" t="s">
        <v>245</v>
      </c>
      <c r="AR183" s="30" t="s">
        <v>245</v>
      </c>
      <c r="AS183" s="30" t="s">
        <v>245</v>
      </c>
      <c r="AT183" s="30" t="s">
        <v>297</v>
      </c>
      <c r="AU183" s="30">
        <v>2020</v>
      </c>
      <c r="AV183" s="30">
        <v>265</v>
      </c>
      <c r="AW183" s="30" t="s">
        <v>245</v>
      </c>
      <c r="AX183" s="30" t="s">
        <v>1695</v>
      </c>
      <c r="AY183" s="30" t="s">
        <v>245</v>
      </c>
      <c r="AZ183" s="30" t="s">
        <v>245</v>
      </c>
      <c r="BA183" s="30" t="s">
        <v>245</v>
      </c>
      <c r="BB183" s="30" t="s">
        <v>245</v>
      </c>
      <c r="BC183" s="30" t="s">
        <v>245</v>
      </c>
      <c r="BD183" s="30">
        <v>115065</v>
      </c>
      <c r="BE183" s="30" t="s">
        <v>1696</v>
      </c>
      <c r="BF183" s="30" t="str">
        <f>HYPERLINK("http://dx.doi.org/10.1016/j.envpol.2020.115065","http://dx.doi.org/10.1016/j.envpol.2020.115065")</f>
        <v>http://dx.doi.org/10.1016/j.envpol.2020.115065</v>
      </c>
      <c r="BG183" s="30" t="s">
        <v>245</v>
      </c>
      <c r="BH183" s="30" t="s">
        <v>245</v>
      </c>
      <c r="BI183" s="30" t="s">
        <v>245</v>
      </c>
      <c r="BJ183" s="30" t="s">
        <v>245</v>
      </c>
      <c r="BK183" s="30" t="s">
        <v>245</v>
      </c>
      <c r="BL183" s="30" t="s">
        <v>245</v>
      </c>
      <c r="BM183" s="30" t="s">
        <v>245</v>
      </c>
      <c r="BN183" s="30">
        <v>32806458</v>
      </c>
      <c r="BO183" s="30" t="s">
        <v>245</v>
      </c>
      <c r="BP183" s="30" t="s">
        <v>245</v>
      </c>
      <c r="BQ183" s="30" t="s">
        <v>245</v>
      </c>
      <c r="BR183" s="30" t="s">
        <v>245</v>
      </c>
      <c r="BS183" s="30" t="s">
        <v>1697</v>
      </c>
      <c r="BT183" s="30" t="str">
        <f>HYPERLINK("https%3A%2F%2Fwww.webofscience.com%2Fwos%2Fwoscc%2Ffull-record%2FWOS:000564558300017","View Full Record in Web of Science")</f>
        <v>View Full Record in Web of Science</v>
      </c>
    </row>
    <row r="184" spans="1:72" x14ac:dyDescent="0.2">
      <c r="A184" s="30" t="s">
        <v>243</v>
      </c>
      <c r="B184" s="30" t="s">
        <v>1698</v>
      </c>
      <c r="C184" s="30" t="s">
        <v>245</v>
      </c>
      <c r="D184" s="30" t="s">
        <v>245</v>
      </c>
      <c r="E184" s="30" t="s">
        <v>245</v>
      </c>
      <c r="F184" s="30" t="s">
        <v>1699</v>
      </c>
      <c r="G184" s="30" t="s">
        <v>245</v>
      </c>
      <c r="H184" s="30" t="s">
        <v>245</v>
      </c>
      <c r="I184" s="30" t="s">
        <v>1700</v>
      </c>
      <c r="J184" s="30" t="s">
        <v>469</v>
      </c>
      <c r="K184" s="30" t="s">
        <v>245</v>
      </c>
      <c r="L184" s="30" t="s">
        <v>245</v>
      </c>
      <c r="M184" s="30" t="s">
        <v>245</v>
      </c>
      <c r="N184" s="30" t="s">
        <v>245</v>
      </c>
      <c r="O184" s="30" t="s">
        <v>245</v>
      </c>
      <c r="P184" s="30" t="s">
        <v>245</v>
      </c>
      <c r="Q184" s="30" t="s">
        <v>245</v>
      </c>
      <c r="R184" s="30" t="s">
        <v>245</v>
      </c>
      <c r="S184" s="30" t="s">
        <v>245</v>
      </c>
      <c r="T184" s="30" t="s">
        <v>245</v>
      </c>
      <c r="U184" s="30" t="s">
        <v>245</v>
      </c>
      <c r="V184" s="30" t="s">
        <v>245</v>
      </c>
      <c r="W184" s="30" t="s">
        <v>245</v>
      </c>
      <c r="X184" s="30" t="s">
        <v>245</v>
      </c>
      <c r="Y184" s="30" t="s">
        <v>245</v>
      </c>
      <c r="Z184" s="30" t="s">
        <v>245</v>
      </c>
      <c r="AA184" s="30" t="s">
        <v>1701</v>
      </c>
      <c r="AB184" s="30" t="s">
        <v>1702</v>
      </c>
      <c r="AC184" s="30" t="s">
        <v>245</v>
      </c>
      <c r="AD184" s="30" t="s">
        <v>245</v>
      </c>
      <c r="AE184" s="30" t="s">
        <v>245</v>
      </c>
      <c r="AF184" s="30" t="s">
        <v>245</v>
      </c>
      <c r="AG184" s="30" t="s">
        <v>245</v>
      </c>
      <c r="AH184" s="30" t="s">
        <v>245</v>
      </c>
      <c r="AI184" s="30" t="s">
        <v>245</v>
      </c>
      <c r="AJ184" s="30" t="s">
        <v>245</v>
      </c>
      <c r="AK184" s="30" t="s">
        <v>245</v>
      </c>
      <c r="AL184" s="30" t="s">
        <v>245</v>
      </c>
      <c r="AM184" s="30" t="s">
        <v>245</v>
      </c>
      <c r="AN184" s="30" t="s">
        <v>245</v>
      </c>
      <c r="AO184" s="30" t="s">
        <v>472</v>
      </c>
      <c r="AP184" s="30" t="s">
        <v>473</v>
      </c>
      <c r="AQ184" s="30" t="s">
        <v>245</v>
      </c>
      <c r="AR184" s="30" t="s">
        <v>245</v>
      </c>
      <c r="AS184" s="30" t="s">
        <v>245</v>
      </c>
      <c r="AT184" s="30" t="s">
        <v>1703</v>
      </c>
      <c r="AU184" s="30">
        <v>2021</v>
      </c>
      <c r="AV184" s="30">
        <v>383</v>
      </c>
      <c r="AW184" s="30" t="s">
        <v>245</v>
      </c>
      <c r="AX184" s="30" t="s">
        <v>245</v>
      </c>
      <c r="AY184" s="30" t="s">
        <v>245</v>
      </c>
      <c r="AZ184" s="30" t="s">
        <v>245</v>
      </c>
      <c r="BA184" s="30" t="s">
        <v>245</v>
      </c>
      <c r="BB184" s="30" t="s">
        <v>245</v>
      </c>
      <c r="BC184" s="30" t="s">
        <v>245</v>
      </c>
      <c r="BD184" s="30">
        <v>114735</v>
      </c>
      <c r="BE184" s="30" t="s">
        <v>1704</v>
      </c>
      <c r="BF184" s="30" t="str">
        <f>HYPERLINK("http://dx.doi.org/10.1016/j.geoderma.2020.114735","http://dx.doi.org/10.1016/j.geoderma.2020.114735")</f>
        <v>http://dx.doi.org/10.1016/j.geoderma.2020.114735</v>
      </c>
      <c r="BG184" s="30" t="s">
        <v>245</v>
      </c>
      <c r="BH184" s="30" t="s">
        <v>245</v>
      </c>
      <c r="BI184" s="30" t="s">
        <v>245</v>
      </c>
      <c r="BJ184" s="30" t="s">
        <v>245</v>
      </c>
      <c r="BK184" s="30" t="s">
        <v>245</v>
      </c>
      <c r="BL184" s="30" t="s">
        <v>245</v>
      </c>
      <c r="BM184" s="30" t="s">
        <v>245</v>
      </c>
      <c r="BN184" s="30" t="s">
        <v>245</v>
      </c>
      <c r="BO184" s="30" t="s">
        <v>245</v>
      </c>
      <c r="BP184" s="30" t="s">
        <v>245</v>
      </c>
      <c r="BQ184" s="30" t="s">
        <v>245</v>
      </c>
      <c r="BR184" s="30" t="s">
        <v>245</v>
      </c>
      <c r="BS184" s="30" t="s">
        <v>1705</v>
      </c>
      <c r="BT184" s="30" t="str">
        <f>HYPERLINK("https%3A%2F%2Fwww.webofscience.com%2Fwos%2Fwoscc%2Ffull-record%2FWOS:000590747800021","View Full Record in Web of Science")</f>
        <v>View Full Record in Web of Science</v>
      </c>
    </row>
    <row r="185" spans="1:72" x14ac:dyDescent="0.2">
      <c r="A185" s="30" t="s">
        <v>243</v>
      </c>
      <c r="B185" s="30" t="s">
        <v>1706</v>
      </c>
      <c r="C185" s="30" t="s">
        <v>245</v>
      </c>
      <c r="D185" s="30" t="s">
        <v>245</v>
      </c>
      <c r="E185" s="30" t="s">
        <v>245</v>
      </c>
      <c r="F185" s="30" t="s">
        <v>1707</v>
      </c>
      <c r="G185" s="30" t="s">
        <v>245</v>
      </c>
      <c r="H185" s="30" t="s">
        <v>245</v>
      </c>
      <c r="I185" s="30" t="s">
        <v>1708</v>
      </c>
      <c r="J185" s="30" t="s">
        <v>304</v>
      </c>
      <c r="K185" s="30" t="s">
        <v>245</v>
      </c>
      <c r="L185" s="30" t="s">
        <v>245</v>
      </c>
      <c r="M185" s="30" t="s">
        <v>245</v>
      </c>
      <c r="N185" s="30" t="s">
        <v>245</v>
      </c>
      <c r="O185" s="30" t="s">
        <v>245</v>
      </c>
      <c r="P185" s="30" t="s">
        <v>245</v>
      </c>
      <c r="Q185" s="30" t="s">
        <v>245</v>
      </c>
      <c r="R185" s="30" t="s">
        <v>245</v>
      </c>
      <c r="S185" s="30" t="s">
        <v>245</v>
      </c>
      <c r="T185" s="30" t="s">
        <v>245</v>
      </c>
      <c r="U185" s="30" t="s">
        <v>245</v>
      </c>
      <c r="V185" s="30" t="s">
        <v>245</v>
      </c>
      <c r="W185" s="30" t="s">
        <v>245</v>
      </c>
      <c r="X185" s="30" t="s">
        <v>245</v>
      </c>
      <c r="Y185" s="30" t="s">
        <v>245</v>
      </c>
      <c r="Z185" s="30" t="s">
        <v>245</v>
      </c>
      <c r="AA185" s="30" t="s">
        <v>1709</v>
      </c>
      <c r="AB185" s="30" t="s">
        <v>1710</v>
      </c>
      <c r="AC185" s="30" t="s">
        <v>245</v>
      </c>
      <c r="AD185" s="30" t="s">
        <v>245</v>
      </c>
      <c r="AE185" s="30" t="s">
        <v>245</v>
      </c>
      <c r="AF185" s="30" t="s">
        <v>245</v>
      </c>
      <c r="AG185" s="30" t="s">
        <v>245</v>
      </c>
      <c r="AH185" s="30" t="s">
        <v>245</v>
      </c>
      <c r="AI185" s="30" t="s">
        <v>245</v>
      </c>
      <c r="AJ185" s="30" t="s">
        <v>245</v>
      </c>
      <c r="AK185" s="30" t="s">
        <v>245</v>
      </c>
      <c r="AL185" s="30" t="s">
        <v>245</v>
      </c>
      <c r="AM185" s="30" t="s">
        <v>245</v>
      </c>
      <c r="AN185" s="30" t="s">
        <v>245</v>
      </c>
      <c r="AO185" s="30" t="s">
        <v>307</v>
      </c>
      <c r="AP185" s="30" t="s">
        <v>308</v>
      </c>
      <c r="AQ185" s="30" t="s">
        <v>245</v>
      </c>
      <c r="AR185" s="30" t="s">
        <v>245</v>
      </c>
      <c r="AS185" s="30" t="s">
        <v>245</v>
      </c>
      <c r="AT185" s="30" t="s">
        <v>265</v>
      </c>
      <c r="AU185" s="30">
        <v>2014</v>
      </c>
      <c r="AV185" s="30">
        <v>60</v>
      </c>
      <c r="AW185" s="30">
        <v>3</v>
      </c>
      <c r="AX185" s="30" t="s">
        <v>245</v>
      </c>
      <c r="AY185" s="30" t="s">
        <v>245</v>
      </c>
      <c r="AZ185" s="30" t="s">
        <v>245</v>
      </c>
      <c r="BA185" s="30" t="s">
        <v>245</v>
      </c>
      <c r="BB185" s="30">
        <v>404</v>
      </c>
      <c r="BC185" s="30">
        <v>410</v>
      </c>
      <c r="BD185" s="30" t="s">
        <v>245</v>
      </c>
      <c r="BE185" s="30" t="s">
        <v>1711</v>
      </c>
      <c r="BF185" s="30" t="str">
        <f>HYPERLINK("http://dx.doi.org/10.1080/00380768.2014.893812","http://dx.doi.org/10.1080/00380768.2014.893812")</f>
        <v>http://dx.doi.org/10.1080/00380768.2014.893812</v>
      </c>
      <c r="BG185" s="30" t="s">
        <v>245</v>
      </c>
      <c r="BH185" s="30" t="s">
        <v>245</v>
      </c>
      <c r="BI185" s="30" t="s">
        <v>245</v>
      </c>
      <c r="BJ185" s="30" t="s">
        <v>245</v>
      </c>
      <c r="BK185" s="30" t="s">
        <v>245</v>
      </c>
      <c r="BL185" s="30" t="s">
        <v>245</v>
      </c>
      <c r="BM185" s="30" t="s">
        <v>245</v>
      </c>
      <c r="BN185" s="30" t="s">
        <v>245</v>
      </c>
      <c r="BO185" s="30" t="s">
        <v>245</v>
      </c>
      <c r="BP185" s="30" t="s">
        <v>245</v>
      </c>
      <c r="BQ185" s="30" t="s">
        <v>245</v>
      </c>
      <c r="BR185" s="30" t="s">
        <v>245</v>
      </c>
      <c r="BS185" s="30" t="s">
        <v>1712</v>
      </c>
      <c r="BT185" s="30" t="str">
        <f>HYPERLINK("https%3A%2F%2Fwww.webofscience.com%2Fwos%2Fwoscc%2Ffull-record%2FWOS:000340088800013","View Full Record in Web of Science")</f>
        <v>View Full Record in Web of Science</v>
      </c>
    </row>
    <row r="186" spans="1:72" x14ac:dyDescent="0.2">
      <c r="A186" s="30" t="s">
        <v>243</v>
      </c>
      <c r="B186" s="30" t="s">
        <v>1713</v>
      </c>
      <c r="C186" s="30" t="s">
        <v>245</v>
      </c>
      <c r="D186" s="30" t="s">
        <v>245</v>
      </c>
      <c r="E186" s="30" t="s">
        <v>245</v>
      </c>
      <c r="F186" s="30" t="s">
        <v>1714</v>
      </c>
      <c r="G186" s="30" t="s">
        <v>245</v>
      </c>
      <c r="H186" s="30" t="s">
        <v>245</v>
      </c>
      <c r="I186" s="30" t="s">
        <v>1715</v>
      </c>
      <c r="J186" s="30" t="s">
        <v>469</v>
      </c>
      <c r="K186" s="30" t="s">
        <v>245</v>
      </c>
      <c r="L186" s="30" t="s">
        <v>245</v>
      </c>
      <c r="M186" s="30" t="s">
        <v>245</v>
      </c>
      <c r="N186" s="30" t="s">
        <v>245</v>
      </c>
      <c r="O186" s="30" t="s">
        <v>245</v>
      </c>
      <c r="P186" s="30" t="s">
        <v>245</v>
      </c>
      <c r="Q186" s="30" t="s">
        <v>245</v>
      </c>
      <c r="R186" s="30" t="s">
        <v>245</v>
      </c>
      <c r="S186" s="30" t="s">
        <v>245</v>
      </c>
      <c r="T186" s="30" t="s">
        <v>245</v>
      </c>
      <c r="U186" s="30" t="s">
        <v>245</v>
      </c>
      <c r="V186" s="30" t="s">
        <v>245</v>
      </c>
      <c r="W186" s="30" t="s">
        <v>245</v>
      </c>
      <c r="X186" s="30" t="s">
        <v>245</v>
      </c>
      <c r="Y186" s="30" t="s">
        <v>245</v>
      </c>
      <c r="Z186" s="30" t="s">
        <v>245</v>
      </c>
      <c r="AA186" s="30" t="s">
        <v>1716</v>
      </c>
      <c r="AB186" s="30" t="s">
        <v>1717</v>
      </c>
      <c r="AC186" s="30" t="s">
        <v>245</v>
      </c>
      <c r="AD186" s="30" t="s">
        <v>245</v>
      </c>
      <c r="AE186" s="30" t="s">
        <v>245</v>
      </c>
      <c r="AF186" s="30" t="s">
        <v>245</v>
      </c>
      <c r="AG186" s="30" t="s">
        <v>245</v>
      </c>
      <c r="AH186" s="30" t="s">
        <v>245</v>
      </c>
      <c r="AI186" s="30" t="s">
        <v>245</v>
      </c>
      <c r="AJ186" s="30" t="s">
        <v>245</v>
      </c>
      <c r="AK186" s="30" t="s">
        <v>245</v>
      </c>
      <c r="AL186" s="30" t="s">
        <v>245</v>
      </c>
      <c r="AM186" s="30" t="s">
        <v>245</v>
      </c>
      <c r="AN186" s="30" t="s">
        <v>245</v>
      </c>
      <c r="AO186" s="30" t="s">
        <v>472</v>
      </c>
      <c r="AP186" s="30" t="s">
        <v>473</v>
      </c>
      <c r="AQ186" s="30" t="s">
        <v>245</v>
      </c>
      <c r="AR186" s="30" t="s">
        <v>245</v>
      </c>
      <c r="AS186" s="30" t="s">
        <v>245</v>
      </c>
      <c r="AT186" s="30" t="s">
        <v>395</v>
      </c>
      <c r="AU186" s="30">
        <v>2018</v>
      </c>
      <c r="AV186" s="30">
        <v>325</v>
      </c>
      <c r="AW186" s="30" t="s">
        <v>245</v>
      </c>
      <c r="AX186" s="30" t="s">
        <v>245</v>
      </c>
      <c r="AY186" s="30" t="s">
        <v>245</v>
      </c>
      <c r="AZ186" s="30" t="s">
        <v>245</v>
      </c>
      <c r="BA186" s="30" t="s">
        <v>245</v>
      </c>
      <c r="BB186" s="30">
        <v>208</v>
      </c>
      <c r="BC186" s="30">
        <v>217</v>
      </c>
      <c r="BD186" s="30" t="s">
        <v>245</v>
      </c>
      <c r="BE186" s="30" t="s">
        <v>1718</v>
      </c>
      <c r="BF186" s="30" t="str">
        <f>HYPERLINK("http://dx.doi.org/10.1016/j.geoderma.2018.03.035","http://dx.doi.org/10.1016/j.geoderma.2018.03.035")</f>
        <v>http://dx.doi.org/10.1016/j.geoderma.2018.03.035</v>
      </c>
      <c r="BG186" s="30" t="s">
        <v>245</v>
      </c>
      <c r="BH186" s="30" t="s">
        <v>245</v>
      </c>
      <c r="BI186" s="30" t="s">
        <v>245</v>
      </c>
      <c r="BJ186" s="30" t="s">
        <v>245</v>
      </c>
      <c r="BK186" s="30" t="s">
        <v>245</v>
      </c>
      <c r="BL186" s="30" t="s">
        <v>245</v>
      </c>
      <c r="BM186" s="30" t="s">
        <v>245</v>
      </c>
      <c r="BN186" s="30" t="s">
        <v>245</v>
      </c>
      <c r="BO186" s="30" t="s">
        <v>245</v>
      </c>
      <c r="BP186" s="30" t="s">
        <v>245</v>
      </c>
      <c r="BQ186" s="30" t="s">
        <v>245</v>
      </c>
      <c r="BR186" s="30" t="s">
        <v>245</v>
      </c>
      <c r="BS186" s="30" t="s">
        <v>1719</v>
      </c>
      <c r="BT186" s="30" t="str">
        <f>HYPERLINK("https%3A%2F%2Fwww.webofscience.com%2Fwos%2Fwoscc%2Ffull-record%2FWOS:000432499000020","View Full Record in Web of Science")</f>
        <v>View Full Record in Web of Science</v>
      </c>
    </row>
    <row r="187" spans="1:72" x14ac:dyDescent="0.2">
      <c r="A187" s="30" t="s">
        <v>243</v>
      </c>
      <c r="B187" s="30" t="s">
        <v>1720</v>
      </c>
      <c r="C187" s="30" t="s">
        <v>245</v>
      </c>
      <c r="D187" s="30" t="s">
        <v>245</v>
      </c>
      <c r="E187" s="30" t="s">
        <v>245</v>
      </c>
      <c r="F187" s="30" t="s">
        <v>1721</v>
      </c>
      <c r="G187" s="30" t="s">
        <v>245</v>
      </c>
      <c r="H187" s="30" t="s">
        <v>245</v>
      </c>
      <c r="I187" s="30" t="s">
        <v>1722</v>
      </c>
      <c r="J187" s="30" t="s">
        <v>1723</v>
      </c>
      <c r="K187" s="30" t="s">
        <v>245</v>
      </c>
      <c r="L187" s="30" t="s">
        <v>245</v>
      </c>
      <c r="M187" s="30" t="s">
        <v>245</v>
      </c>
      <c r="N187" s="30" t="s">
        <v>245</v>
      </c>
      <c r="O187" s="30" t="s">
        <v>245</v>
      </c>
      <c r="P187" s="30" t="s">
        <v>245</v>
      </c>
      <c r="Q187" s="30" t="s">
        <v>245</v>
      </c>
      <c r="R187" s="30" t="s">
        <v>245</v>
      </c>
      <c r="S187" s="30" t="s">
        <v>245</v>
      </c>
      <c r="T187" s="30" t="s">
        <v>245</v>
      </c>
      <c r="U187" s="30" t="s">
        <v>245</v>
      </c>
      <c r="V187" s="30" t="s">
        <v>245</v>
      </c>
      <c r="W187" s="30" t="s">
        <v>245</v>
      </c>
      <c r="X187" s="30" t="s">
        <v>245</v>
      </c>
      <c r="Y187" s="30" t="s">
        <v>245</v>
      </c>
      <c r="Z187" s="30" t="s">
        <v>245</v>
      </c>
      <c r="AA187" s="30" t="s">
        <v>1724</v>
      </c>
      <c r="AB187" s="30" t="s">
        <v>245</v>
      </c>
      <c r="AC187" s="30" t="s">
        <v>245</v>
      </c>
      <c r="AD187" s="30" t="s">
        <v>245</v>
      </c>
      <c r="AE187" s="30" t="s">
        <v>245</v>
      </c>
      <c r="AF187" s="30" t="s">
        <v>245</v>
      </c>
      <c r="AG187" s="30" t="s">
        <v>245</v>
      </c>
      <c r="AH187" s="30" t="s">
        <v>245</v>
      </c>
      <c r="AI187" s="30" t="s">
        <v>245</v>
      </c>
      <c r="AJ187" s="30" t="s">
        <v>245</v>
      </c>
      <c r="AK187" s="30" t="s">
        <v>245</v>
      </c>
      <c r="AL187" s="30" t="s">
        <v>245</v>
      </c>
      <c r="AM187" s="30" t="s">
        <v>245</v>
      </c>
      <c r="AN187" s="30" t="s">
        <v>245</v>
      </c>
      <c r="AO187" s="30" t="s">
        <v>1725</v>
      </c>
      <c r="AP187" s="30" t="s">
        <v>1726</v>
      </c>
      <c r="AQ187" s="30" t="s">
        <v>245</v>
      </c>
      <c r="AR187" s="30" t="s">
        <v>245</v>
      </c>
      <c r="AS187" s="30" t="s">
        <v>245</v>
      </c>
      <c r="AT187" s="30" t="s">
        <v>487</v>
      </c>
      <c r="AU187" s="30">
        <v>2025</v>
      </c>
      <c r="AV187" s="30">
        <v>39</v>
      </c>
      <c r="AW187" s="30">
        <v>3</v>
      </c>
      <c r="AX187" s="30" t="s">
        <v>245</v>
      </c>
      <c r="AY187" s="30" t="s">
        <v>245</v>
      </c>
      <c r="AZ187" s="30" t="s">
        <v>245</v>
      </c>
      <c r="BA187" s="30" t="s">
        <v>245</v>
      </c>
      <c r="BB187" s="30" t="s">
        <v>245</v>
      </c>
      <c r="BC187" s="30" t="s">
        <v>245</v>
      </c>
      <c r="BD187" s="30" t="s">
        <v>1727</v>
      </c>
      <c r="BE187" s="30" t="s">
        <v>1728</v>
      </c>
      <c r="BF187" s="30" t="str">
        <f>HYPERLINK("http://dx.doi.org/10.1029/2024GB008209","http://dx.doi.org/10.1029/2024GB008209")</f>
        <v>http://dx.doi.org/10.1029/2024GB008209</v>
      </c>
      <c r="BG187" s="30" t="s">
        <v>245</v>
      </c>
      <c r="BH187" s="30" t="s">
        <v>245</v>
      </c>
      <c r="BI187" s="30" t="s">
        <v>245</v>
      </c>
      <c r="BJ187" s="30" t="s">
        <v>245</v>
      </c>
      <c r="BK187" s="30" t="s">
        <v>245</v>
      </c>
      <c r="BL187" s="30" t="s">
        <v>245</v>
      </c>
      <c r="BM187" s="30" t="s">
        <v>245</v>
      </c>
      <c r="BN187" s="30" t="s">
        <v>245</v>
      </c>
      <c r="BO187" s="30" t="s">
        <v>245</v>
      </c>
      <c r="BP187" s="30" t="s">
        <v>245</v>
      </c>
      <c r="BQ187" s="30" t="s">
        <v>245</v>
      </c>
      <c r="BR187" s="30" t="s">
        <v>245</v>
      </c>
      <c r="BS187" s="30" t="s">
        <v>1729</v>
      </c>
      <c r="BT187" s="30" t="str">
        <f>HYPERLINK("https%3A%2F%2Fwww.webofscience.com%2Fwos%2Fwoscc%2Ffull-record%2FWOS:001444927200001","View Full Record in Web of Science")</f>
        <v>View Full Record in Web of Science</v>
      </c>
    </row>
    <row r="188" spans="1:72" x14ac:dyDescent="0.2">
      <c r="A188" s="30" t="s">
        <v>243</v>
      </c>
      <c r="B188" s="30" t="s">
        <v>1730</v>
      </c>
      <c r="C188" s="30" t="s">
        <v>245</v>
      </c>
      <c r="D188" s="30" t="s">
        <v>245</v>
      </c>
      <c r="E188" s="30" t="s">
        <v>245</v>
      </c>
      <c r="F188" s="30" t="s">
        <v>1731</v>
      </c>
      <c r="G188" s="30" t="s">
        <v>245</v>
      </c>
      <c r="H188" s="30" t="s">
        <v>245</v>
      </c>
      <c r="I188" s="30" t="s">
        <v>1732</v>
      </c>
      <c r="J188" s="30" t="s">
        <v>1122</v>
      </c>
      <c r="K188" s="30" t="s">
        <v>245</v>
      </c>
      <c r="L188" s="30" t="s">
        <v>245</v>
      </c>
      <c r="M188" s="30" t="s">
        <v>245</v>
      </c>
      <c r="N188" s="30" t="s">
        <v>245</v>
      </c>
      <c r="O188" s="30" t="s">
        <v>245</v>
      </c>
      <c r="P188" s="30" t="s">
        <v>245</v>
      </c>
      <c r="Q188" s="30" t="s">
        <v>245</v>
      </c>
      <c r="R188" s="30" t="s">
        <v>245</v>
      </c>
      <c r="S188" s="30" t="s">
        <v>245</v>
      </c>
      <c r="T188" s="30" t="s">
        <v>245</v>
      </c>
      <c r="U188" s="30" t="s">
        <v>245</v>
      </c>
      <c r="V188" s="30" t="s">
        <v>245</v>
      </c>
      <c r="W188" s="30" t="s">
        <v>245</v>
      </c>
      <c r="X188" s="30" t="s">
        <v>245</v>
      </c>
      <c r="Y188" s="30" t="s">
        <v>245</v>
      </c>
      <c r="Z188" s="30" t="s">
        <v>245</v>
      </c>
      <c r="AA188" s="30" t="s">
        <v>1733</v>
      </c>
      <c r="AB188" s="30" t="s">
        <v>1734</v>
      </c>
      <c r="AC188" s="30" t="s">
        <v>245</v>
      </c>
      <c r="AD188" s="30" t="s">
        <v>245</v>
      </c>
      <c r="AE188" s="30" t="s">
        <v>245</v>
      </c>
      <c r="AF188" s="30" t="s">
        <v>245</v>
      </c>
      <c r="AG188" s="30" t="s">
        <v>245</v>
      </c>
      <c r="AH188" s="30" t="s">
        <v>245</v>
      </c>
      <c r="AI188" s="30" t="s">
        <v>245</v>
      </c>
      <c r="AJ188" s="30" t="s">
        <v>245</v>
      </c>
      <c r="AK188" s="30" t="s">
        <v>245</v>
      </c>
      <c r="AL188" s="30" t="s">
        <v>245</v>
      </c>
      <c r="AM188" s="30" t="s">
        <v>245</v>
      </c>
      <c r="AN188" s="30" t="s">
        <v>245</v>
      </c>
      <c r="AO188" s="30" t="s">
        <v>245</v>
      </c>
      <c r="AP188" s="30" t="s">
        <v>1125</v>
      </c>
      <c r="AQ188" s="30" t="s">
        <v>245</v>
      </c>
      <c r="AR188" s="30" t="s">
        <v>245</v>
      </c>
      <c r="AS188" s="30" t="s">
        <v>245</v>
      </c>
      <c r="AT188" s="30" t="s">
        <v>435</v>
      </c>
      <c r="AU188" s="30">
        <v>2020</v>
      </c>
      <c r="AV188" s="30">
        <v>10</v>
      </c>
      <c r="AW188" s="30">
        <v>5</v>
      </c>
      <c r="AX188" s="30" t="s">
        <v>245</v>
      </c>
      <c r="AY188" s="30" t="s">
        <v>245</v>
      </c>
      <c r="AZ188" s="30" t="s">
        <v>245</v>
      </c>
      <c r="BA188" s="30" t="s">
        <v>245</v>
      </c>
      <c r="BB188" s="30" t="s">
        <v>245</v>
      </c>
      <c r="BC188" s="30" t="s">
        <v>245</v>
      </c>
      <c r="BD188" s="30">
        <v>685</v>
      </c>
      <c r="BE188" s="30" t="s">
        <v>1735</v>
      </c>
      <c r="BF188" s="30" t="str">
        <f>HYPERLINK("http://dx.doi.org/10.3390/agronomy10050685","http://dx.doi.org/10.3390/agronomy10050685")</f>
        <v>http://dx.doi.org/10.3390/agronomy10050685</v>
      </c>
      <c r="BG188" s="30" t="s">
        <v>245</v>
      </c>
      <c r="BH188" s="30" t="s">
        <v>245</v>
      </c>
      <c r="BI188" s="30" t="s">
        <v>245</v>
      </c>
      <c r="BJ188" s="30" t="s">
        <v>245</v>
      </c>
      <c r="BK188" s="30" t="s">
        <v>245</v>
      </c>
      <c r="BL188" s="30" t="s">
        <v>245</v>
      </c>
      <c r="BM188" s="30" t="s">
        <v>245</v>
      </c>
      <c r="BN188" s="30" t="s">
        <v>245</v>
      </c>
      <c r="BO188" s="30" t="s">
        <v>245</v>
      </c>
      <c r="BP188" s="30" t="s">
        <v>245</v>
      </c>
      <c r="BQ188" s="30" t="s">
        <v>245</v>
      </c>
      <c r="BR188" s="30" t="s">
        <v>245</v>
      </c>
      <c r="BS188" s="30" t="s">
        <v>1736</v>
      </c>
      <c r="BT188" s="30" t="str">
        <f>HYPERLINK("https%3A%2F%2Fwww.webofscience.com%2Fwos%2Fwoscc%2Ffull-record%2FWOS:000541750900071","View Full Record in Web of Science")</f>
        <v>View Full Record in Web of Science</v>
      </c>
    </row>
    <row r="189" spans="1:72" x14ac:dyDescent="0.2">
      <c r="A189" s="30" t="s">
        <v>243</v>
      </c>
      <c r="B189" s="30" t="s">
        <v>1737</v>
      </c>
      <c r="C189" s="30" t="s">
        <v>245</v>
      </c>
      <c r="D189" s="30" t="s">
        <v>245</v>
      </c>
      <c r="E189" s="30" t="s">
        <v>245</v>
      </c>
      <c r="F189" s="30" t="s">
        <v>1738</v>
      </c>
      <c r="G189" s="30" t="s">
        <v>245</v>
      </c>
      <c r="H189" s="30" t="s">
        <v>245</v>
      </c>
      <c r="I189" s="30" t="s">
        <v>1739</v>
      </c>
      <c r="J189" s="30" t="s">
        <v>1015</v>
      </c>
      <c r="K189" s="30" t="s">
        <v>245</v>
      </c>
      <c r="L189" s="30" t="s">
        <v>245</v>
      </c>
      <c r="M189" s="30" t="s">
        <v>245</v>
      </c>
      <c r="N189" s="30" t="s">
        <v>245</v>
      </c>
      <c r="O189" s="30" t="s">
        <v>245</v>
      </c>
      <c r="P189" s="30" t="s">
        <v>245</v>
      </c>
      <c r="Q189" s="30" t="s">
        <v>245</v>
      </c>
      <c r="R189" s="30" t="s">
        <v>245</v>
      </c>
      <c r="S189" s="30" t="s">
        <v>245</v>
      </c>
      <c r="T189" s="30" t="s">
        <v>245</v>
      </c>
      <c r="U189" s="30" t="s">
        <v>245</v>
      </c>
      <c r="V189" s="30" t="s">
        <v>245</v>
      </c>
      <c r="W189" s="30" t="s">
        <v>245</v>
      </c>
      <c r="X189" s="30" t="s">
        <v>245</v>
      </c>
      <c r="Y189" s="30" t="s">
        <v>245</v>
      </c>
      <c r="Z189" s="30" t="s">
        <v>245</v>
      </c>
      <c r="AA189" s="30" t="s">
        <v>245</v>
      </c>
      <c r="AB189" s="30" t="s">
        <v>245</v>
      </c>
      <c r="AC189" s="30" t="s">
        <v>245</v>
      </c>
      <c r="AD189" s="30" t="s">
        <v>245</v>
      </c>
      <c r="AE189" s="30" t="s">
        <v>245</v>
      </c>
      <c r="AF189" s="30" t="s">
        <v>245</v>
      </c>
      <c r="AG189" s="30" t="s">
        <v>245</v>
      </c>
      <c r="AH189" s="30" t="s">
        <v>245</v>
      </c>
      <c r="AI189" s="30" t="s">
        <v>245</v>
      </c>
      <c r="AJ189" s="30" t="s">
        <v>245</v>
      </c>
      <c r="AK189" s="30" t="s">
        <v>245</v>
      </c>
      <c r="AL189" s="30" t="s">
        <v>245</v>
      </c>
      <c r="AM189" s="30" t="s">
        <v>245</v>
      </c>
      <c r="AN189" s="30" t="s">
        <v>245</v>
      </c>
      <c r="AO189" s="30" t="s">
        <v>1018</v>
      </c>
      <c r="AP189" s="30" t="s">
        <v>1019</v>
      </c>
      <c r="AQ189" s="30" t="s">
        <v>245</v>
      </c>
      <c r="AR189" s="30" t="s">
        <v>245</v>
      </c>
      <c r="AS189" s="30" t="s">
        <v>245</v>
      </c>
      <c r="AT189" s="30" t="s">
        <v>1740</v>
      </c>
      <c r="AU189" s="30">
        <v>2025</v>
      </c>
      <c r="AV189" s="30">
        <v>168</v>
      </c>
      <c r="AW189" s="30">
        <v>2</v>
      </c>
      <c r="AX189" s="30" t="s">
        <v>245</v>
      </c>
      <c r="AY189" s="30" t="s">
        <v>245</v>
      </c>
      <c r="AZ189" s="30" t="s">
        <v>245</v>
      </c>
      <c r="BA189" s="30" t="s">
        <v>245</v>
      </c>
      <c r="BB189" s="30" t="s">
        <v>245</v>
      </c>
      <c r="BC189" s="30" t="s">
        <v>245</v>
      </c>
      <c r="BD189" s="30">
        <v>38</v>
      </c>
      <c r="BE189" s="30" t="s">
        <v>1741</v>
      </c>
      <c r="BF189" s="30" t="str">
        <f>HYPERLINK("http://dx.doi.org/10.1007/s10533-025-01229-4","http://dx.doi.org/10.1007/s10533-025-01229-4")</f>
        <v>http://dx.doi.org/10.1007/s10533-025-01229-4</v>
      </c>
      <c r="BG189" s="30" t="s">
        <v>245</v>
      </c>
      <c r="BH189" s="30" t="s">
        <v>245</v>
      </c>
      <c r="BI189" s="30" t="s">
        <v>245</v>
      </c>
      <c r="BJ189" s="30" t="s">
        <v>245</v>
      </c>
      <c r="BK189" s="30" t="s">
        <v>245</v>
      </c>
      <c r="BL189" s="30" t="s">
        <v>245</v>
      </c>
      <c r="BM189" s="30" t="s">
        <v>245</v>
      </c>
      <c r="BN189" s="30" t="s">
        <v>245</v>
      </c>
      <c r="BO189" s="30" t="s">
        <v>245</v>
      </c>
      <c r="BP189" s="30" t="s">
        <v>245</v>
      </c>
      <c r="BQ189" s="30" t="s">
        <v>245</v>
      </c>
      <c r="BR189" s="30" t="s">
        <v>245</v>
      </c>
      <c r="BS189" s="30" t="s">
        <v>1742</v>
      </c>
      <c r="BT189" s="30" t="str">
        <f>HYPERLINK("https%3A%2F%2Fwww.webofscience.com%2Fwos%2Fwoscc%2Ffull-record%2FWOS:001458898400001","View Full Record in Web of Science")</f>
        <v>View Full Record in Web of Science</v>
      </c>
    </row>
    <row r="190" spans="1:72" x14ac:dyDescent="0.2">
      <c r="A190" s="30" t="s">
        <v>243</v>
      </c>
      <c r="B190" s="30" t="s">
        <v>1743</v>
      </c>
      <c r="C190" s="30" t="s">
        <v>245</v>
      </c>
      <c r="D190" s="30" t="s">
        <v>245</v>
      </c>
      <c r="E190" s="30" t="s">
        <v>245</v>
      </c>
      <c r="F190" s="30" t="s">
        <v>1744</v>
      </c>
      <c r="G190" s="30" t="s">
        <v>245</v>
      </c>
      <c r="H190" s="30" t="s">
        <v>245</v>
      </c>
      <c r="I190" s="30" t="s">
        <v>1745</v>
      </c>
      <c r="J190" s="30" t="s">
        <v>1746</v>
      </c>
      <c r="K190" s="30" t="s">
        <v>245</v>
      </c>
      <c r="L190" s="30" t="s">
        <v>245</v>
      </c>
      <c r="M190" s="30" t="s">
        <v>245</v>
      </c>
      <c r="N190" s="30" t="s">
        <v>245</v>
      </c>
      <c r="O190" s="30" t="s">
        <v>245</v>
      </c>
      <c r="P190" s="30" t="s">
        <v>245</v>
      </c>
      <c r="Q190" s="30" t="s">
        <v>245</v>
      </c>
      <c r="R190" s="30" t="s">
        <v>245</v>
      </c>
      <c r="S190" s="30" t="s">
        <v>245</v>
      </c>
      <c r="T190" s="30" t="s">
        <v>245</v>
      </c>
      <c r="U190" s="30" t="s">
        <v>245</v>
      </c>
      <c r="V190" s="30" t="s">
        <v>245</v>
      </c>
      <c r="W190" s="30" t="s">
        <v>245</v>
      </c>
      <c r="X190" s="30" t="s">
        <v>245</v>
      </c>
      <c r="Y190" s="30" t="s">
        <v>245</v>
      </c>
      <c r="Z190" s="30" t="s">
        <v>245</v>
      </c>
      <c r="AA190" s="30" t="s">
        <v>1747</v>
      </c>
      <c r="AB190" s="30" t="s">
        <v>1748</v>
      </c>
      <c r="AC190" s="30" t="s">
        <v>245</v>
      </c>
      <c r="AD190" s="30" t="s">
        <v>245</v>
      </c>
      <c r="AE190" s="30" t="s">
        <v>245</v>
      </c>
      <c r="AF190" s="30" t="s">
        <v>245</v>
      </c>
      <c r="AG190" s="30" t="s">
        <v>245</v>
      </c>
      <c r="AH190" s="30" t="s">
        <v>245</v>
      </c>
      <c r="AI190" s="30" t="s">
        <v>245</v>
      </c>
      <c r="AJ190" s="30" t="s">
        <v>245</v>
      </c>
      <c r="AK190" s="30" t="s">
        <v>245</v>
      </c>
      <c r="AL190" s="30" t="s">
        <v>245</v>
      </c>
      <c r="AM190" s="30" t="s">
        <v>245</v>
      </c>
      <c r="AN190" s="30" t="s">
        <v>245</v>
      </c>
      <c r="AO190" s="30" t="s">
        <v>245</v>
      </c>
      <c r="AP190" s="30" t="s">
        <v>1749</v>
      </c>
      <c r="AQ190" s="30" t="s">
        <v>245</v>
      </c>
      <c r="AR190" s="30" t="s">
        <v>245</v>
      </c>
      <c r="AS190" s="30" t="s">
        <v>245</v>
      </c>
      <c r="AT190" s="30" t="s">
        <v>1750</v>
      </c>
      <c r="AU190" s="30">
        <v>2021</v>
      </c>
      <c r="AV190" s="30">
        <v>1</v>
      </c>
      <c r="AW190" s="30">
        <v>5</v>
      </c>
      <c r="AX190" s="30" t="s">
        <v>245</v>
      </c>
      <c r="AY190" s="30" t="s">
        <v>245</v>
      </c>
      <c r="AZ190" s="30" t="s">
        <v>245</v>
      </c>
      <c r="BA190" s="30" t="s">
        <v>245</v>
      </c>
      <c r="BB190" s="30">
        <v>540</v>
      </c>
      <c r="BC190" s="30">
        <v>549</v>
      </c>
      <c r="BD190" s="30" t="s">
        <v>245</v>
      </c>
      <c r="BE190" s="30" t="s">
        <v>1751</v>
      </c>
      <c r="BF190" s="30" t="str">
        <f>HYPERLINK("http://dx.doi.org/10.1021/acsagscitech.1c00150","http://dx.doi.org/10.1021/acsagscitech.1c00150")</f>
        <v>http://dx.doi.org/10.1021/acsagscitech.1c00150</v>
      </c>
      <c r="BG190" s="30" t="s">
        <v>245</v>
      </c>
      <c r="BH190" s="30" t="s">
        <v>245</v>
      </c>
      <c r="BI190" s="30" t="s">
        <v>245</v>
      </c>
      <c r="BJ190" s="30" t="s">
        <v>245</v>
      </c>
      <c r="BK190" s="30" t="s">
        <v>245</v>
      </c>
      <c r="BL190" s="30" t="s">
        <v>245</v>
      </c>
      <c r="BM190" s="30" t="s">
        <v>245</v>
      </c>
      <c r="BN190" s="30" t="s">
        <v>245</v>
      </c>
      <c r="BO190" s="30" t="s">
        <v>245</v>
      </c>
      <c r="BP190" s="30" t="s">
        <v>245</v>
      </c>
      <c r="BQ190" s="30" t="s">
        <v>245</v>
      </c>
      <c r="BR190" s="30" t="s">
        <v>245</v>
      </c>
      <c r="BS190" s="30" t="s">
        <v>1752</v>
      </c>
      <c r="BT190" s="30" t="str">
        <f>HYPERLINK("https%3A%2F%2Fwww.webofscience.com%2Fwos%2Fwoscc%2Ffull-record%2FWOS:000874464900001","View Full Record in Web of Science")</f>
        <v>View Full Record in Web of Science</v>
      </c>
    </row>
    <row r="191" spans="1:72" x14ac:dyDescent="0.2">
      <c r="A191" s="30" t="s">
        <v>243</v>
      </c>
      <c r="B191" s="30" t="s">
        <v>1753</v>
      </c>
      <c r="C191" s="30" t="s">
        <v>245</v>
      </c>
      <c r="D191" s="30" t="s">
        <v>245</v>
      </c>
      <c r="E191" s="30" t="s">
        <v>245</v>
      </c>
      <c r="F191" s="30" t="s">
        <v>1754</v>
      </c>
      <c r="G191" s="30" t="s">
        <v>245</v>
      </c>
      <c r="H191" s="30" t="s">
        <v>245</v>
      </c>
      <c r="I191" s="30" t="s">
        <v>1755</v>
      </c>
      <c r="J191" s="30" t="s">
        <v>248</v>
      </c>
      <c r="K191" s="30" t="s">
        <v>245</v>
      </c>
      <c r="L191" s="30" t="s">
        <v>245</v>
      </c>
      <c r="M191" s="30" t="s">
        <v>245</v>
      </c>
      <c r="N191" s="30" t="s">
        <v>245</v>
      </c>
      <c r="O191" s="30" t="s">
        <v>245</v>
      </c>
      <c r="P191" s="30" t="s">
        <v>245</v>
      </c>
      <c r="Q191" s="30" t="s">
        <v>245</v>
      </c>
      <c r="R191" s="30" t="s">
        <v>245</v>
      </c>
      <c r="S191" s="30" t="s">
        <v>245</v>
      </c>
      <c r="T191" s="30" t="s">
        <v>245</v>
      </c>
      <c r="U191" s="30" t="s">
        <v>245</v>
      </c>
      <c r="V191" s="30" t="s">
        <v>245</v>
      </c>
      <c r="W191" s="30" t="s">
        <v>245</v>
      </c>
      <c r="X191" s="30" t="s">
        <v>245</v>
      </c>
      <c r="Y191" s="30" t="s">
        <v>245</v>
      </c>
      <c r="Z191" s="30" t="s">
        <v>245</v>
      </c>
      <c r="AA191" s="30" t="s">
        <v>1756</v>
      </c>
      <c r="AB191" s="30" t="s">
        <v>1757</v>
      </c>
      <c r="AC191" s="30" t="s">
        <v>245</v>
      </c>
      <c r="AD191" s="30" t="s">
        <v>245</v>
      </c>
      <c r="AE191" s="30" t="s">
        <v>245</v>
      </c>
      <c r="AF191" s="30" t="s">
        <v>245</v>
      </c>
      <c r="AG191" s="30" t="s">
        <v>245</v>
      </c>
      <c r="AH191" s="30" t="s">
        <v>245</v>
      </c>
      <c r="AI191" s="30" t="s">
        <v>245</v>
      </c>
      <c r="AJ191" s="30" t="s">
        <v>245</v>
      </c>
      <c r="AK191" s="30" t="s">
        <v>245</v>
      </c>
      <c r="AL191" s="30" t="s">
        <v>245</v>
      </c>
      <c r="AM191" s="30" t="s">
        <v>245</v>
      </c>
      <c r="AN191" s="30" t="s">
        <v>245</v>
      </c>
      <c r="AO191" s="30" t="s">
        <v>251</v>
      </c>
      <c r="AP191" s="30" t="s">
        <v>245</v>
      </c>
      <c r="AQ191" s="30" t="s">
        <v>245</v>
      </c>
      <c r="AR191" s="30" t="s">
        <v>245</v>
      </c>
      <c r="AS191" s="30" t="s">
        <v>245</v>
      </c>
      <c r="AT191" s="30" t="s">
        <v>245</v>
      </c>
      <c r="AU191" s="30">
        <v>2010</v>
      </c>
      <c r="AV191" s="30">
        <v>41</v>
      </c>
      <c r="AW191" s="30">
        <v>14</v>
      </c>
      <c r="AX191" s="30" t="s">
        <v>245</v>
      </c>
      <c r="AY191" s="30" t="s">
        <v>245</v>
      </c>
      <c r="AZ191" s="30" t="s">
        <v>245</v>
      </c>
      <c r="BA191" s="30" t="s">
        <v>245</v>
      </c>
      <c r="BB191" s="30">
        <v>1769</v>
      </c>
      <c r="BC191" s="30">
        <v>1778</v>
      </c>
      <c r="BD191" s="30" t="s">
        <v>245</v>
      </c>
      <c r="BE191" s="30" t="s">
        <v>1758</v>
      </c>
      <c r="BF191" s="30" t="str">
        <f>HYPERLINK("http://dx.doi.org/10.1080/00103624.2010.489139","http://dx.doi.org/10.1080/00103624.2010.489139")</f>
        <v>http://dx.doi.org/10.1080/00103624.2010.489139</v>
      </c>
      <c r="BG191" s="30" t="s">
        <v>245</v>
      </c>
      <c r="BH191" s="30" t="s">
        <v>245</v>
      </c>
      <c r="BI191" s="30" t="s">
        <v>245</v>
      </c>
      <c r="BJ191" s="30" t="s">
        <v>245</v>
      </c>
      <c r="BK191" s="30" t="s">
        <v>245</v>
      </c>
      <c r="BL191" s="30" t="s">
        <v>245</v>
      </c>
      <c r="BM191" s="30" t="s">
        <v>245</v>
      </c>
      <c r="BN191" s="30" t="s">
        <v>245</v>
      </c>
      <c r="BO191" s="30" t="s">
        <v>245</v>
      </c>
      <c r="BP191" s="30" t="s">
        <v>245</v>
      </c>
      <c r="BQ191" s="30" t="s">
        <v>245</v>
      </c>
      <c r="BR191" s="30" t="s">
        <v>245</v>
      </c>
      <c r="BS191" s="30" t="s">
        <v>1759</v>
      </c>
      <c r="BT191" s="30" t="str">
        <f>HYPERLINK("https%3A%2F%2Fwww.webofscience.com%2Fwos%2Fwoscc%2Ffull-record%2FWOS:000280378100009","View Full Record in Web of Science")</f>
        <v>View Full Record in Web of Science</v>
      </c>
    </row>
    <row r="192" spans="1:72" x14ac:dyDescent="0.2">
      <c r="A192" s="30" t="s">
        <v>243</v>
      </c>
      <c r="B192" s="30" t="s">
        <v>1760</v>
      </c>
      <c r="C192" s="30" t="s">
        <v>245</v>
      </c>
      <c r="D192" s="30" t="s">
        <v>245</v>
      </c>
      <c r="E192" s="30" t="s">
        <v>245</v>
      </c>
      <c r="F192" s="30" t="s">
        <v>1761</v>
      </c>
      <c r="G192" s="30" t="s">
        <v>245</v>
      </c>
      <c r="H192" s="30" t="s">
        <v>245</v>
      </c>
      <c r="I192" s="30" t="s">
        <v>1762</v>
      </c>
      <c r="J192" s="30" t="s">
        <v>1549</v>
      </c>
      <c r="K192" s="30" t="s">
        <v>245</v>
      </c>
      <c r="L192" s="30" t="s">
        <v>245</v>
      </c>
      <c r="M192" s="30" t="s">
        <v>245</v>
      </c>
      <c r="N192" s="30" t="s">
        <v>245</v>
      </c>
      <c r="O192" s="30" t="s">
        <v>245</v>
      </c>
      <c r="P192" s="30" t="s">
        <v>245</v>
      </c>
      <c r="Q192" s="30" t="s">
        <v>245</v>
      </c>
      <c r="R192" s="30" t="s">
        <v>245</v>
      </c>
      <c r="S192" s="30" t="s">
        <v>245</v>
      </c>
      <c r="T192" s="30" t="s">
        <v>245</v>
      </c>
      <c r="U192" s="30" t="s">
        <v>245</v>
      </c>
      <c r="V192" s="30" t="s">
        <v>245</v>
      </c>
      <c r="W192" s="30" t="s">
        <v>245</v>
      </c>
      <c r="X192" s="30" t="s">
        <v>245</v>
      </c>
      <c r="Y192" s="30" t="s">
        <v>245</v>
      </c>
      <c r="Z192" s="30" t="s">
        <v>245</v>
      </c>
      <c r="AA192" s="30" t="s">
        <v>1763</v>
      </c>
      <c r="AB192" s="30" t="s">
        <v>1764</v>
      </c>
      <c r="AC192" s="30" t="s">
        <v>245</v>
      </c>
      <c r="AD192" s="30" t="s">
        <v>245</v>
      </c>
      <c r="AE192" s="30" t="s">
        <v>245</v>
      </c>
      <c r="AF192" s="30" t="s">
        <v>245</v>
      </c>
      <c r="AG192" s="30" t="s">
        <v>245</v>
      </c>
      <c r="AH192" s="30" t="s">
        <v>245</v>
      </c>
      <c r="AI192" s="30" t="s">
        <v>245</v>
      </c>
      <c r="AJ192" s="30" t="s">
        <v>245</v>
      </c>
      <c r="AK192" s="30" t="s">
        <v>245</v>
      </c>
      <c r="AL192" s="30" t="s">
        <v>245</v>
      </c>
      <c r="AM192" s="30" t="s">
        <v>245</v>
      </c>
      <c r="AN192" s="30" t="s">
        <v>245</v>
      </c>
      <c r="AO192" s="30" t="s">
        <v>1551</v>
      </c>
      <c r="AP192" s="30" t="s">
        <v>1552</v>
      </c>
      <c r="AQ192" s="30" t="s">
        <v>245</v>
      </c>
      <c r="AR192" s="30" t="s">
        <v>245</v>
      </c>
      <c r="AS192" s="30" t="s">
        <v>245</v>
      </c>
      <c r="AT192" s="30" t="s">
        <v>550</v>
      </c>
      <c r="AU192" s="30">
        <v>2018</v>
      </c>
      <c r="AV192" s="30">
        <v>242</v>
      </c>
      <c r="AW192" s="30" t="s">
        <v>245</v>
      </c>
      <c r="AX192" s="30" t="s">
        <v>1695</v>
      </c>
      <c r="AY192" s="30" t="s">
        <v>245</v>
      </c>
      <c r="AZ192" s="30" t="s">
        <v>245</v>
      </c>
      <c r="BA192" s="30" t="s">
        <v>245</v>
      </c>
      <c r="BB192" s="30">
        <v>2005</v>
      </c>
      <c r="BC192" s="30">
        <v>2013</v>
      </c>
      <c r="BD192" s="30" t="s">
        <v>245</v>
      </c>
      <c r="BE192" s="30" t="s">
        <v>1765</v>
      </c>
      <c r="BF192" s="30" t="str">
        <f>HYPERLINK("http://dx.doi.org/10.1016/j.envpol.2018.07.028","http://dx.doi.org/10.1016/j.envpol.2018.07.028")</f>
        <v>http://dx.doi.org/10.1016/j.envpol.2018.07.028</v>
      </c>
      <c r="BG192" s="30" t="s">
        <v>245</v>
      </c>
      <c r="BH192" s="30" t="s">
        <v>245</v>
      </c>
      <c r="BI192" s="30" t="s">
        <v>245</v>
      </c>
      <c r="BJ192" s="30" t="s">
        <v>245</v>
      </c>
      <c r="BK192" s="30" t="s">
        <v>245</v>
      </c>
      <c r="BL192" s="30" t="s">
        <v>245</v>
      </c>
      <c r="BM192" s="30" t="s">
        <v>245</v>
      </c>
      <c r="BN192" s="30">
        <v>30061078</v>
      </c>
      <c r="BO192" s="30" t="s">
        <v>245</v>
      </c>
      <c r="BP192" s="30" t="s">
        <v>245</v>
      </c>
      <c r="BQ192" s="30" t="s">
        <v>245</v>
      </c>
      <c r="BR192" s="30" t="s">
        <v>245</v>
      </c>
      <c r="BS192" s="30" t="s">
        <v>1766</v>
      </c>
      <c r="BT192" s="30" t="str">
        <f>HYPERLINK("https%3A%2F%2Fwww.webofscience.com%2Fwos%2Fwoscc%2Ffull-record%2FWOS:000446282600104","View Full Record in Web of Science")</f>
        <v>View Full Record in Web of Science</v>
      </c>
    </row>
    <row r="193" spans="1:72" x14ac:dyDescent="0.2">
      <c r="A193" s="30" t="s">
        <v>243</v>
      </c>
      <c r="B193" s="30" t="s">
        <v>1767</v>
      </c>
      <c r="C193" s="30" t="s">
        <v>245</v>
      </c>
      <c r="D193" s="30" t="s">
        <v>245</v>
      </c>
      <c r="E193" s="30" t="s">
        <v>245</v>
      </c>
      <c r="F193" s="30" t="s">
        <v>1768</v>
      </c>
      <c r="G193" s="30" t="s">
        <v>245</v>
      </c>
      <c r="H193" s="30" t="s">
        <v>245</v>
      </c>
      <c r="I193" s="30" t="s">
        <v>1769</v>
      </c>
      <c r="J193" s="30" t="s">
        <v>413</v>
      </c>
      <c r="K193" s="30" t="s">
        <v>245</v>
      </c>
      <c r="L193" s="30" t="s">
        <v>245</v>
      </c>
      <c r="M193" s="30" t="s">
        <v>245</v>
      </c>
      <c r="N193" s="30" t="s">
        <v>245</v>
      </c>
      <c r="O193" s="30" t="s">
        <v>245</v>
      </c>
      <c r="P193" s="30" t="s">
        <v>245</v>
      </c>
      <c r="Q193" s="30" t="s">
        <v>245</v>
      </c>
      <c r="R193" s="30" t="s">
        <v>245</v>
      </c>
      <c r="S193" s="30" t="s">
        <v>245</v>
      </c>
      <c r="T193" s="30" t="s">
        <v>245</v>
      </c>
      <c r="U193" s="30" t="s">
        <v>245</v>
      </c>
      <c r="V193" s="30" t="s">
        <v>245</v>
      </c>
      <c r="W193" s="30" t="s">
        <v>245</v>
      </c>
      <c r="X193" s="30" t="s">
        <v>245</v>
      </c>
      <c r="Y193" s="30" t="s">
        <v>245</v>
      </c>
      <c r="Z193" s="30" t="s">
        <v>245</v>
      </c>
      <c r="AA193" s="30" t="s">
        <v>1770</v>
      </c>
      <c r="AB193" s="30" t="s">
        <v>1771</v>
      </c>
      <c r="AC193" s="30" t="s">
        <v>245</v>
      </c>
      <c r="AD193" s="30" t="s">
        <v>245</v>
      </c>
      <c r="AE193" s="30" t="s">
        <v>245</v>
      </c>
      <c r="AF193" s="30" t="s">
        <v>245</v>
      </c>
      <c r="AG193" s="30" t="s">
        <v>245</v>
      </c>
      <c r="AH193" s="30" t="s">
        <v>245</v>
      </c>
      <c r="AI193" s="30" t="s">
        <v>245</v>
      </c>
      <c r="AJ193" s="30" t="s">
        <v>245</v>
      </c>
      <c r="AK193" s="30" t="s">
        <v>245</v>
      </c>
      <c r="AL193" s="30" t="s">
        <v>245</v>
      </c>
      <c r="AM193" s="30" t="s">
        <v>245</v>
      </c>
      <c r="AN193" s="30" t="s">
        <v>245</v>
      </c>
      <c r="AO193" s="30" t="s">
        <v>416</v>
      </c>
      <c r="AP193" s="30" t="s">
        <v>417</v>
      </c>
      <c r="AQ193" s="30" t="s">
        <v>245</v>
      </c>
      <c r="AR193" s="30" t="s">
        <v>245</v>
      </c>
      <c r="AS193" s="30" t="s">
        <v>245</v>
      </c>
      <c r="AT193" s="30" t="s">
        <v>1772</v>
      </c>
      <c r="AU193" s="30">
        <v>2021</v>
      </c>
      <c r="AV193" s="30">
        <v>781</v>
      </c>
      <c r="AW193" s="30" t="s">
        <v>245</v>
      </c>
      <c r="AX193" s="30" t="s">
        <v>245</v>
      </c>
      <c r="AY193" s="30" t="s">
        <v>245</v>
      </c>
      <c r="AZ193" s="30" t="s">
        <v>245</v>
      </c>
      <c r="BA193" s="30" t="s">
        <v>245</v>
      </c>
      <c r="BB193" s="30" t="s">
        <v>245</v>
      </c>
      <c r="BC193" s="30" t="s">
        <v>245</v>
      </c>
      <c r="BD193" s="30">
        <v>146746</v>
      </c>
      <c r="BE193" s="30" t="s">
        <v>1773</v>
      </c>
      <c r="BF193" s="30" t="str">
        <f>HYPERLINK("http://dx.doi.org/10.1016/j.scitotenv.2021.146746","http://dx.doi.org/10.1016/j.scitotenv.2021.146746")</f>
        <v>http://dx.doi.org/10.1016/j.scitotenv.2021.146746</v>
      </c>
      <c r="BG193" s="30" t="s">
        <v>245</v>
      </c>
      <c r="BH193" s="30" t="s">
        <v>524</v>
      </c>
      <c r="BI193" s="30" t="s">
        <v>245</v>
      </c>
      <c r="BJ193" s="30" t="s">
        <v>245</v>
      </c>
      <c r="BK193" s="30" t="s">
        <v>245</v>
      </c>
      <c r="BL193" s="30" t="s">
        <v>245</v>
      </c>
      <c r="BM193" s="30" t="s">
        <v>245</v>
      </c>
      <c r="BN193" s="30">
        <v>33798878</v>
      </c>
      <c r="BO193" s="30" t="s">
        <v>245</v>
      </c>
      <c r="BP193" s="30" t="s">
        <v>245</v>
      </c>
      <c r="BQ193" s="30" t="s">
        <v>245</v>
      </c>
      <c r="BR193" s="30" t="s">
        <v>245</v>
      </c>
      <c r="BS193" s="30" t="s">
        <v>1774</v>
      </c>
      <c r="BT193" s="30" t="str">
        <f>HYPERLINK("https%3A%2F%2Fwww.webofscience.com%2Fwos%2Fwoscc%2Ffull-record%2FWOS:000655618600009","View Full Record in Web of Science")</f>
        <v>View Full Record in Web of Science</v>
      </c>
    </row>
    <row r="194" spans="1:72" x14ac:dyDescent="0.2">
      <c r="A194" s="30" t="s">
        <v>243</v>
      </c>
      <c r="B194" s="30" t="s">
        <v>1775</v>
      </c>
      <c r="C194" s="30" t="s">
        <v>245</v>
      </c>
      <c r="D194" s="30" t="s">
        <v>245</v>
      </c>
      <c r="E194" s="30" t="s">
        <v>245</v>
      </c>
      <c r="F194" s="30" t="s">
        <v>1776</v>
      </c>
      <c r="G194" s="30" t="s">
        <v>245</v>
      </c>
      <c r="H194" s="30" t="s">
        <v>245</v>
      </c>
      <c r="I194" s="30" t="s">
        <v>105</v>
      </c>
      <c r="J194" s="30" t="s">
        <v>469</v>
      </c>
      <c r="K194" s="30" t="s">
        <v>245</v>
      </c>
      <c r="L194" s="30" t="s">
        <v>245</v>
      </c>
      <c r="M194" s="30" t="s">
        <v>245</v>
      </c>
      <c r="N194" s="30" t="s">
        <v>245</v>
      </c>
      <c r="O194" s="30" t="s">
        <v>245</v>
      </c>
      <c r="P194" s="30" t="s">
        <v>245</v>
      </c>
      <c r="Q194" s="30" t="s">
        <v>245</v>
      </c>
      <c r="R194" s="30" t="s">
        <v>245</v>
      </c>
      <c r="S194" s="30" t="s">
        <v>245</v>
      </c>
      <c r="T194" s="30" t="s">
        <v>245</v>
      </c>
      <c r="U194" s="30" t="s">
        <v>245</v>
      </c>
      <c r="V194" s="30" t="s">
        <v>245</v>
      </c>
      <c r="W194" s="30" t="s">
        <v>245</v>
      </c>
      <c r="X194" s="30" t="s">
        <v>245</v>
      </c>
      <c r="Y194" s="30" t="s">
        <v>245</v>
      </c>
      <c r="Z194" s="30" t="s">
        <v>245</v>
      </c>
      <c r="AA194" s="30" t="s">
        <v>1777</v>
      </c>
      <c r="AB194" s="30" t="s">
        <v>1778</v>
      </c>
      <c r="AC194" s="30" t="s">
        <v>245</v>
      </c>
      <c r="AD194" s="30" t="s">
        <v>245</v>
      </c>
      <c r="AE194" s="30" t="s">
        <v>245</v>
      </c>
      <c r="AF194" s="30" t="s">
        <v>245</v>
      </c>
      <c r="AG194" s="30" t="s">
        <v>245</v>
      </c>
      <c r="AH194" s="30" t="s">
        <v>245</v>
      </c>
      <c r="AI194" s="30" t="s">
        <v>245</v>
      </c>
      <c r="AJ194" s="30" t="s">
        <v>245</v>
      </c>
      <c r="AK194" s="30" t="s">
        <v>245</v>
      </c>
      <c r="AL194" s="30" t="s">
        <v>245</v>
      </c>
      <c r="AM194" s="30" t="s">
        <v>245</v>
      </c>
      <c r="AN194" s="30" t="s">
        <v>245</v>
      </c>
      <c r="AO194" s="30" t="s">
        <v>472</v>
      </c>
      <c r="AP194" s="30" t="s">
        <v>473</v>
      </c>
      <c r="AQ194" s="30" t="s">
        <v>245</v>
      </c>
      <c r="AR194" s="30" t="s">
        <v>245</v>
      </c>
      <c r="AS194" s="30" t="s">
        <v>245</v>
      </c>
      <c r="AT194" s="30" t="s">
        <v>395</v>
      </c>
      <c r="AU194" s="30">
        <v>2022</v>
      </c>
      <c r="AV194" s="30">
        <v>421</v>
      </c>
      <c r="AW194" s="30" t="s">
        <v>245</v>
      </c>
      <c r="AX194" s="30" t="s">
        <v>245</v>
      </c>
      <c r="AY194" s="30" t="s">
        <v>245</v>
      </c>
      <c r="AZ194" s="30" t="s">
        <v>245</v>
      </c>
      <c r="BA194" s="30" t="s">
        <v>245</v>
      </c>
      <c r="BB194" s="30" t="s">
        <v>245</v>
      </c>
      <c r="BC194" s="30" t="s">
        <v>245</v>
      </c>
      <c r="BD194" s="30" t="s">
        <v>245</v>
      </c>
      <c r="BE194" s="30" t="s">
        <v>1779</v>
      </c>
      <c r="BF194" s="30" t="str">
        <f>HYPERLINK("http://dx.doi.org/10.1016/j.geoderma.2022.115909","http://dx.doi.org/10.1016/j.geoderma.2022.115909")</f>
        <v>http://dx.doi.org/10.1016/j.geoderma.2022.115909</v>
      </c>
      <c r="BG194" s="30" t="s">
        <v>245</v>
      </c>
      <c r="BH194" s="30" t="s">
        <v>245</v>
      </c>
      <c r="BI194" s="30" t="s">
        <v>245</v>
      </c>
      <c r="BJ194" s="30" t="s">
        <v>245</v>
      </c>
      <c r="BK194" s="30" t="s">
        <v>245</v>
      </c>
      <c r="BL194" s="30" t="s">
        <v>245</v>
      </c>
      <c r="BM194" s="30" t="s">
        <v>245</v>
      </c>
      <c r="BN194" s="30" t="s">
        <v>245</v>
      </c>
      <c r="BO194" s="30" t="s">
        <v>245</v>
      </c>
      <c r="BP194" s="30" t="s">
        <v>245</v>
      </c>
      <c r="BQ194" s="30" t="s">
        <v>245</v>
      </c>
      <c r="BR194" s="30" t="s">
        <v>245</v>
      </c>
      <c r="BS194" s="30" t="s">
        <v>1780</v>
      </c>
      <c r="BT194" s="30" t="str">
        <f>HYPERLINK("https%3A%2F%2Fwww.webofscience.com%2Fwos%2Fwoscc%2Ffull-record%2FWOS:000893964200003","View Full Record in Web of Science")</f>
        <v>View Full Record in Web of Science</v>
      </c>
    </row>
    <row r="195" spans="1:72" x14ac:dyDescent="0.2">
      <c r="A195" s="30" t="s">
        <v>243</v>
      </c>
      <c r="B195" s="30" t="s">
        <v>1781</v>
      </c>
      <c r="C195" s="30" t="s">
        <v>245</v>
      </c>
      <c r="D195" s="30" t="s">
        <v>245</v>
      </c>
      <c r="E195" s="30" t="s">
        <v>245</v>
      </c>
      <c r="F195" s="30" t="s">
        <v>1782</v>
      </c>
      <c r="G195" s="30" t="s">
        <v>245</v>
      </c>
      <c r="H195" s="30" t="s">
        <v>245</v>
      </c>
      <c r="I195" s="30" t="s">
        <v>1783</v>
      </c>
      <c r="J195" s="30" t="s">
        <v>1646</v>
      </c>
      <c r="K195" s="30" t="s">
        <v>245</v>
      </c>
      <c r="L195" s="30" t="s">
        <v>245</v>
      </c>
      <c r="M195" s="30" t="s">
        <v>245</v>
      </c>
      <c r="N195" s="30" t="s">
        <v>245</v>
      </c>
      <c r="O195" s="30" t="s">
        <v>245</v>
      </c>
      <c r="P195" s="30" t="s">
        <v>245</v>
      </c>
      <c r="Q195" s="30" t="s">
        <v>245</v>
      </c>
      <c r="R195" s="30" t="s">
        <v>245</v>
      </c>
      <c r="S195" s="30" t="s">
        <v>245</v>
      </c>
      <c r="T195" s="30" t="s">
        <v>245</v>
      </c>
      <c r="U195" s="30" t="s">
        <v>245</v>
      </c>
      <c r="V195" s="30" t="s">
        <v>245</v>
      </c>
      <c r="W195" s="30" t="s">
        <v>245</v>
      </c>
      <c r="X195" s="30" t="s">
        <v>245</v>
      </c>
      <c r="Y195" s="30" t="s">
        <v>245</v>
      </c>
      <c r="Z195" s="30" t="s">
        <v>245</v>
      </c>
      <c r="AA195" s="30" t="s">
        <v>1784</v>
      </c>
      <c r="AB195" s="30" t="s">
        <v>1785</v>
      </c>
      <c r="AC195" s="30" t="s">
        <v>245</v>
      </c>
      <c r="AD195" s="30" t="s">
        <v>245</v>
      </c>
      <c r="AE195" s="30" t="s">
        <v>245</v>
      </c>
      <c r="AF195" s="30" t="s">
        <v>245</v>
      </c>
      <c r="AG195" s="30" t="s">
        <v>245</v>
      </c>
      <c r="AH195" s="30" t="s">
        <v>245</v>
      </c>
      <c r="AI195" s="30" t="s">
        <v>245</v>
      </c>
      <c r="AJ195" s="30" t="s">
        <v>245</v>
      </c>
      <c r="AK195" s="30" t="s">
        <v>245</v>
      </c>
      <c r="AL195" s="30" t="s">
        <v>245</v>
      </c>
      <c r="AM195" s="30" t="s">
        <v>245</v>
      </c>
      <c r="AN195" s="30" t="s">
        <v>245</v>
      </c>
      <c r="AO195" s="30" t="s">
        <v>1649</v>
      </c>
      <c r="AP195" s="30" t="s">
        <v>245</v>
      </c>
      <c r="AQ195" s="30" t="s">
        <v>245</v>
      </c>
      <c r="AR195" s="30" t="s">
        <v>245</v>
      </c>
      <c r="AS195" s="30" t="s">
        <v>245</v>
      </c>
      <c r="AT195" s="30" t="s">
        <v>1786</v>
      </c>
      <c r="AU195" s="30">
        <v>2016</v>
      </c>
      <c r="AV195" s="30">
        <v>73</v>
      </c>
      <c r="AW195" s="30">
        <v>1</v>
      </c>
      <c r="AX195" s="30" t="s">
        <v>245</v>
      </c>
      <c r="AY195" s="30" t="s">
        <v>245</v>
      </c>
      <c r="AZ195" s="30" t="s">
        <v>245</v>
      </c>
      <c r="BA195" s="30" t="s">
        <v>245</v>
      </c>
      <c r="BB195" s="30">
        <v>34</v>
      </c>
      <c r="BC195" s="30">
        <v>42</v>
      </c>
      <c r="BD195" s="30" t="s">
        <v>245</v>
      </c>
      <c r="BE195" s="30" t="s">
        <v>1787</v>
      </c>
      <c r="BF195" s="30" t="str">
        <f>HYPERLINK("http://dx.doi.org/10.1590/0103-9016-2015-0093","http://dx.doi.org/10.1590/0103-9016-2015-0093")</f>
        <v>http://dx.doi.org/10.1590/0103-9016-2015-0093</v>
      </c>
      <c r="BG195" s="30" t="s">
        <v>245</v>
      </c>
      <c r="BH195" s="30" t="s">
        <v>245</v>
      </c>
      <c r="BI195" s="30" t="s">
        <v>245</v>
      </c>
      <c r="BJ195" s="30" t="s">
        <v>245</v>
      </c>
      <c r="BK195" s="30" t="s">
        <v>245</v>
      </c>
      <c r="BL195" s="30" t="s">
        <v>245</v>
      </c>
      <c r="BM195" s="30" t="s">
        <v>245</v>
      </c>
      <c r="BN195" s="30" t="s">
        <v>245</v>
      </c>
      <c r="BO195" s="30" t="s">
        <v>245</v>
      </c>
      <c r="BP195" s="30" t="s">
        <v>245</v>
      </c>
      <c r="BQ195" s="30" t="s">
        <v>245</v>
      </c>
      <c r="BR195" s="30" t="s">
        <v>245</v>
      </c>
      <c r="BS195" s="30" t="s">
        <v>1788</v>
      </c>
      <c r="BT195" s="30" t="str">
        <f>HYPERLINK("https%3A%2F%2Fwww.webofscience.com%2Fwos%2Fwoscc%2Ffull-record%2FWOS:000367158900006","View Full Record in Web of Science")</f>
        <v>View Full Record in Web of Science</v>
      </c>
    </row>
    <row r="196" spans="1:72" x14ac:dyDescent="0.2">
      <c r="A196" s="30" t="s">
        <v>243</v>
      </c>
      <c r="B196" s="30" t="s">
        <v>1789</v>
      </c>
      <c r="C196" s="30" t="s">
        <v>245</v>
      </c>
      <c r="D196" s="30" t="s">
        <v>245</v>
      </c>
      <c r="E196" s="30" t="s">
        <v>245</v>
      </c>
      <c r="F196" s="30" t="s">
        <v>1790</v>
      </c>
      <c r="G196" s="30" t="s">
        <v>245</v>
      </c>
      <c r="H196" s="30" t="s">
        <v>245</v>
      </c>
      <c r="I196" s="30" t="s">
        <v>1791</v>
      </c>
      <c r="J196" s="30" t="s">
        <v>402</v>
      </c>
      <c r="K196" s="30" t="s">
        <v>245</v>
      </c>
      <c r="L196" s="30" t="s">
        <v>245</v>
      </c>
      <c r="M196" s="30" t="s">
        <v>245</v>
      </c>
      <c r="N196" s="30" t="s">
        <v>245</v>
      </c>
      <c r="O196" s="30" t="s">
        <v>245</v>
      </c>
      <c r="P196" s="30" t="s">
        <v>245</v>
      </c>
      <c r="Q196" s="30" t="s">
        <v>245</v>
      </c>
      <c r="R196" s="30" t="s">
        <v>245</v>
      </c>
      <c r="S196" s="30" t="s">
        <v>245</v>
      </c>
      <c r="T196" s="30" t="s">
        <v>245</v>
      </c>
      <c r="U196" s="30" t="s">
        <v>245</v>
      </c>
      <c r="V196" s="30" t="s">
        <v>245</v>
      </c>
      <c r="W196" s="30" t="s">
        <v>245</v>
      </c>
      <c r="X196" s="30" t="s">
        <v>245</v>
      </c>
      <c r="Y196" s="30" t="s">
        <v>245</v>
      </c>
      <c r="Z196" s="30" t="s">
        <v>245</v>
      </c>
      <c r="AA196" s="30" t="s">
        <v>1792</v>
      </c>
      <c r="AB196" s="30" t="s">
        <v>245</v>
      </c>
      <c r="AC196" s="30" t="s">
        <v>245</v>
      </c>
      <c r="AD196" s="30" t="s">
        <v>245</v>
      </c>
      <c r="AE196" s="30" t="s">
        <v>245</v>
      </c>
      <c r="AF196" s="30" t="s">
        <v>245</v>
      </c>
      <c r="AG196" s="30" t="s">
        <v>245</v>
      </c>
      <c r="AH196" s="30" t="s">
        <v>245</v>
      </c>
      <c r="AI196" s="30" t="s">
        <v>245</v>
      </c>
      <c r="AJ196" s="30" t="s">
        <v>245</v>
      </c>
      <c r="AK196" s="30" t="s">
        <v>245</v>
      </c>
      <c r="AL196" s="30" t="s">
        <v>245</v>
      </c>
      <c r="AM196" s="30" t="s">
        <v>245</v>
      </c>
      <c r="AN196" s="30" t="s">
        <v>245</v>
      </c>
      <c r="AO196" s="30" t="s">
        <v>405</v>
      </c>
      <c r="AP196" s="30" t="s">
        <v>406</v>
      </c>
      <c r="AQ196" s="30" t="s">
        <v>245</v>
      </c>
      <c r="AR196" s="30" t="s">
        <v>245</v>
      </c>
      <c r="AS196" s="30" t="s">
        <v>245</v>
      </c>
      <c r="AT196" s="30" t="s">
        <v>487</v>
      </c>
      <c r="AU196" s="30">
        <v>2022</v>
      </c>
      <c r="AV196" s="30">
        <v>22</v>
      </c>
      <c r="AW196" s="30">
        <v>3</v>
      </c>
      <c r="AX196" s="30" t="s">
        <v>245</v>
      </c>
      <c r="AY196" s="30" t="s">
        <v>245</v>
      </c>
      <c r="AZ196" s="30" t="s">
        <v>245</v>
      </c>
      <c r="BA196" s="30" t="s">
        <v>245</v>
      </c>
      <c r="BB196" s="30">
        <v>831</v>
      </c>
      <c r="BC196" s="30">
        <v>843</v>
      </c>
      <c r="BD196" s="30" t="s">
        <v>245</v>
      </c>
      <c r="BE196" s="30" t="s">
        <v>1793</v>
      </c>
      <c r="BF196" s="30" t="str">
        <f>HYPERLINK("http://dx.doi.org/10.1007/s11368-021-03118-3","http://dx.doi.org/10.1007/s11368-021-03118-3")</f>
        <v>http://dx.doi.org/10.1007/s11368-021-03118-3</v>
      </c>
      <c r="BG196" s="30" t="s">
        <v>245</v>
      </c>
      <c r="BH196" s="30" t="s">
        <v>1314</v>
      </c>
      <c r="BI196" s="30" t="s">
        <v>245</v>
      </c>
      <c r="BJ196" s="30" t="s">
        <v>245</v>
      </c>
      <c r="BK196" s="30" t="s">
        <v>245</v>
      </c>
      <c r="BL196" s="30" t="s">
        <v>245</v>
      </c>
      <c r="BM196" s="30" t="s">
        <v>245</v>
      </c>
      <c r="BN196" s="30" t="s">
        <v>245</v>
      </c>
      <c r="BO196" s="30" t="s">
        <v>245</v>
      </c>
      <c r="BP196" s="30" t="s">
        <v>245</v>
      </c>
      <c r="BQ196" s="30" t="s">
        <v>245</v>
      </c>
      <c r="BR196" s="30" t="s">
        <v>245</v>
      </c>
      <c r="BS196" s="30" t="s">
        <v>1794</v>
      </c>
      <c r="BT196" s="30" t="str">
        <f>HYPERLINK("https%3A%2F%2Fwww.webofscience.com%2Fwos%2Fwoscc%2Ffull-record%2FWOS:000736930800001","View Full Record in Web of Science")</f>
        <v>View Full Record in Web of Science</v>
      </c>
    </row>
    <row r="197" spans="1:72" x14ac:dyDescent="0.2">
      <c r="A197" s="30" t="s">
        <v>243</v>
      </c>
      <c r="B197" s="30" t="s">
        <v>1795</v>
      </c>
      <c r="C197" s="30" t="s">
        <v>245</v>
      </c>
      <c r="D197" s="30" t="s">
        <v>245</v>
      </c>
      <c r="E197" s="30" t="s">
        <v>245</v>
      </c>
      <c r="F197" s="30" t="s">
        <v>1796</v>
      </c>
      <c r="G197" s="30" t="s">
        <v>245</v>
      </c>
      <c r="H197" s="30" t="s">
        <v>245</v>
      </c>
      <c r="I197" s="30" t="s">
        <v>1797</v>
      </c>
      <c r="J197" s="30" t="s">
        <v>1352</v>
      </c>
      <c r="K197" s="30" t="s">
        <v>245</v>
      </c>
      <c r="L197" s="30" t="s">
        <v>245</v>
      </c>
      <c r="M197" s="30" t="s">
        <v>245</v>
      </c>
      <c r="N197" s="30" t="s">
        <v>245</v>
      </c>
      <c r="O197" s="30" t="s">
        <v>245</v>
      </c>
      <c r="P197" s="30" t="s">
        <v>245</v>
      </c>
      <c r="Q197" s="30" t="s">
        <v>245</v>
      </c>
      <c r="R197" s="30" t="s">
        <v>245</v>
      </c>
      <c r="S197" s="30" t="s">
        <v>245</v>
      </c>
      <c r="T197" s="30" t="s">
        <v>245</v>
      </c>
      <c r="U197" s="30" t="s">
        <v>245</v>
      </c>
      <c r="V197" s="30" t="s">
        <v>245</v>
      </c>
      <c r="W197" s="30" t="s">
        <v>245</v>
      </c>
      <c r="X197" s="30" t="s">
        <v>245</v>
      </c>
      <c r="Y197" s="30" t="s">
        <v>245</v>
      </c>
      <c r="Z197" s="30" t="s">
        <v>245</v>
      </c>
      <c r="AA197" s="30" t="s">
        <v>245</v>
      </c>
      <c r="AB197" s="30" t="s">
        <v>1798</v>
      </c>
      <c r="AC197" s="30" t="s">
        <v>245</v>
      </c>
      <c r="AD197" s="30" t="s">
        <v>245</v>
      </c>
      <c r="AE197" s="30" t="s">
        <v>245</v>
      </c>
      <c r="AF197" s="30" t="s">
        <v>245</v>
      </c>
      <c r="AG197" s="30" t="s">
        <v>245</v>
      </c>
      <c r="AH197" s="30" t="s">
        <v>245</v>
      </c>
      <c r="AI197" s="30" t="s">
        <v>245</v>
      </c>
      <c r="AJ197" s="30" t="s">
        <v>245</v>
      </c>
      <c r="AK197" s="30" t="s">
        <v>245</v>
      </c>
      <c r="AL197" s="30" t="s">
        <v>245</v>
      </c>
      <c r="AM197" s="30" t="s">
        <v>245</v>
      </c>
      <c r="AN197" s="30" t="s">
        <v>245</v>
      </c>
      <c r="AO197" s="30" t="s">
        <v>1355</v>
      </c>
      <c r="AP197" s="30" t="s">
        <v>1356</v>
      </c>
      <c r="AQ197" s="30" t="s">
        <v>245</v>
      </c>
      <c r="AR197" s="30" t="s">
        <v>245</v>
      </c>
      <c r="AS197" s="30" t="s">
        <v>245</v>
      </c>
      <c r="AT197" s="30" t="s">
        <v>245</v>
      </c>
      <c r="AU197" s="30">
        <v>2007</v>
      </c>
      <c r="AV197" s="30">
        <v>19</v>
      </c>
      <c r="AW197" s="30">
        <v>7</v>
      </c>
      <c r="AX197" s="30" t="s">
        <v>245</v>
      </c>
      <c r="AY197" s="30" t="s">
        <v>245</v>
      </c>
      <c r="AZ197" s="30" t="s">
        <v>245</v>
      </c>
      <c r="BA197" s="30" t="s">
        <v>245</v>
      </c>
      <c r="BB197" s="30">
        <v>841</v>
      </c>
      <c r="BC197" s="30">
        <v>847</v>
      </c>
      <c r="BD197" s="30" t="s">
        <v>245</v>
      </c>
      <c r="BE197" s="30" t="s">
        <v>1799</v>
      </c>
      <c r="BF197" s="30" t="str">
        <f>HYPERLINK("http://dx.doi.org/10.1016/S1001-0742(07)60140-5","http://dx.doi.org/10.1016/S1001-0742(07)60140-5")</f>
        <v>http://dx.doi.org/10.1016/S1001-0742(07)60140-5</v>
      </c>
      <c r="BG197" s="30" t="s">
        <v>245</v>
      </c>
      <c r="BH197" s="30" t="s">
        <v>245</v>
      </c>
      <c r="BI197" s="30" t="s">
        <v>245</v>
      </c>
      <c r="BJ197" s="30" t="s">
        <v>245</v>
      </c>
      <c r="BK197" s="30" t="s">
        <v>245</v>
      </c>
      <c r="BL197" s="30" t="s">
        <v>245</v>
      </c>
      <c r="BM197" s="30" t="s">
        <v>245</v>
      </c>
      <c r="BN197" s="30">
        <v>17966872</v>
      </c>
      <c r="BO197" s="30" t="s">
        <v>245</v>
      </c>
      <c r="BP197" s="30" t="s">
        <v>245</v>
      </c>
      <c r="BQ197" s="30" t="s">
        <v>245</v>
      </c>
      <c r="BR197" s="30" t="s">
        <v>245</v>
      </c>
      <c r="BS197" s="30" t="s">
        <v>1800</v>
      </c>
      <c r="BT197" s="30" t="str">
        <f>HYPERLINK("https%3A%2F%2Fwww.webofscience.com%2Fwos%2Fwoscc%2Ffull-record%2FWOS:000248095400012","View Full Record in Web of Science")</f>
        <v>View Full Record in Web of Science</v>
      </c>
    </row>
    <row r="198" spans="1:72" x14ac:dyDescent="0.2">
      <c r="A198" s="30" t="s">
        <v>243</v>
      </c>
      <c r="B198" s="30" t="s">
        <v>1801</v>
      </c>
      <c r="C198" s="30" t="s">
        <v>245</v>
      </c>
      <c r="D198" s="30" t="s">
        <v>245</v>
      </c>
      <c r="E198" s="30" t="s">
        <v>245</v>
      </c>
      <c r="F198" s="30" t="s">
        <v>1802</v>
      </c>
      <c r="G198" s="30" t="s">
        <v>245</v>
      </c>
      <c r="H198" s="30" t="s">
        <v>245</v>
      </c>
      <c r="I198" s="30" t="s">
        <v>1803</v>
      </c>
      <c r="J198" s="30" t="s">
        <v>1804</v>
      </c>
      <c r="K198" s="30" t="s">
        <v>245</v>
      </c>
      <c r="L198" s="30" t="s">
        <v>245</v>
      </c>
      <c r="M198" s="30" t="s">
        <v>245</v>
      </c>
      <c r="N198" s="30" t="s">
        <v>245</v>
      </c>
      <c r="O198" s="30" t="s">
        <v>245</v>
      </c>
      <c r="P198" s="30" t="s">
        <v>245</v>
      </c>
      <c r="Q198" s="30" t="s">
        <v>245</v>
      </c>
      <c r="R198" s="30" t="s">
        <v>245</v>
      </c>
      <c r="S198" s="30" t="s">
        <v>245</v>
      </c>
      <c r="T198" s="30" t="s">
        <v>245</v>
      </c>
      <c r="U198" s="30" t="s">
        <v>245</v>
      </c>
      <c r="V198" s="30" t="s">
        <v>245</v>
      </c>
      <c r="W198" s="30" t="s">
        <v>245</v>
      </c>
      <c r="X198" s="30" t="s">
        <v>245</v>
      </c>
      <c r="Y198" s="30" t="s">
        <v>245</v>
      </c>
      <c r="Z198" s="30" t="s">
        <v>245</v>
      </c>
      <c r="AA198" s="30" t="s">
        <v>1805</v>
      </c>
      <c r="AB198" s="30" t="s">
        <v>1806</v>
      </c>
      <c r="AC198" s="30" t="s">
        <v>245</v>
      </c>
      <c r="AD198" s="30" t="s">
        <v>245</v>
      </c>
      <c r="AE198" s="30" t="s">
        <v>245</v>
      </c>
      <c r="AF198" s="30" t="s">
        <v>245</v>
      </c>
      <c r="AG198" s="30" t="s">
        <v>245</v>
      </c>
      <c r="AH198" s="30" t="s">
        <v>245</v>
      </c>
      <c r="AI198" s="30" t="s">
        <v>245</v>
      </c>
      <c r="AJ198" s="30" t="s">
        <v>245</v>
      </c>
      <c r="AK198" s="30" t="s">
        <v>245</v>
      </c>
      <c r="AL198" s="30" t="s">
        <v>245</v>
      </c>
      <c r="AM198" s="30" t="s">
        <v>245</v>
      </c>
      <c r="AN198" s="30" t="s">
        <v>245</v>
      </c>
      <c r="AO198" s="30" t="s">
        <v>1807</v>
      </c>
      <c r="AP198" s="30" t="s">
        <v>245</v>
      </c>
      <c r="AQ198" s="30" t="s">
        <v>245</v>
      </c>
      <c r="AR198" s="30" t="s">
        <v>245</v>
      </c>
      <c r="AS198" s="30" t="s">
        <v>245</v>
      </c>
      <c r="AT198" s="30" t="s">
        <v>1808</v>
      </c>
      <c r="AU198" s="30">
        <v>2024</v>
      </c>
      <c r="AV198" s="30">
        <v>9</v>
      </c>
      <c r="AW198" s="30">
        <v>1</v>
      </c>
      <c r="AX198" s="30" t="s">
        <v>245</v>
      </c>
      <c r="AY198" s="30" t="s">
        <v>245</v>
      </c>
      <c r="AZ198" s="30" t="s">
        <v>245</v>
      </c>
      <c r="BA198" s="30" t="s">
        <v>245</v>
      </c>
      <c r="BB198" s="30" t="s">
        <v>245</v>
      </c>
      <c r="BC198" s="30" t="s">
        <v>245</v>
      </c>
      <c r="BD198" s="30" t="s">
        <v>245</v>
      </c>
      <c r="BE198" s="30" t="s">
        <v>1809</v>
      </c>
      <c r="BF198" s="30" t="str">
        <f>HYPERLINK("http://dx.doi.org/10.1128/msystems.00936-23","http://dx.doi.org/10.1128/msystems.00936-23")</f>
        <v>http://dx.doi.org/10.1128/msystems.00936-23</v>
      </c>
      <c r="BG198" s="30" t="s">
        <v>245</v>
      </c>
      <c r="BH198" s="30" t="s">
        <v>824</v>
      </c>
      <c r="BI198" s="30" t="s">
        <v>245</v>
      </c>
      <c r="BJ198" s="30" t="s">
        <v>245</v>
      </c>
      <c r="BK198" s="30" t="s">
        <v>245</v>
      </c>
      <c r="BL198" s="30" t="s">
        <v>245</v>
      </c>
      <c r="BM198" s="30" t="s">
        <v>245</v>
      </c>
      <c r="BN198" s="30">
        <v>38170982</v>
      </c>
      <c r="BO198" s="30" t="s">
        <v>245</v>
      </c>
      <c r="BP198" s="30" t="s">
        <v>245</v>
      </c>
      <c r="BQ198" s="30" t="s">
        <v>245</v>
      </c>
      <c r="BR198" s="30" t="s">
        <v>245</v>
      </c>
      <c r="BS198" s="30" t="s">
        <v>1810</v>
      </c>
      <c r="BT198" s="30" t="str">
        <f>HYPERLINK("https%3A%2F%2Fwww.webofscience.com%2Fwos%2Fwoscc%2Ffull-record%2FWOS:001135894600001","View Full Record in Web of Science")</f>
        <v>View Full Record in Web of Science</v>
      </c>
    </row>
    <row r="199" spans="1:72" x14ac:dyDescent="0.2">
      <c r="A199" s="30" t="s">
        <v>243</v>
      </c>
      <c r="B199" s="30" t="s">
        <v>1811</v>
      </c>
      <c r="C199" s="30" t="s">
        <v>245</v>
      </c>
      <c r="D199" s="30" t="s">
        <v>245</v>
      </c>
      <c r="E199" s="30" t="s">
        <v>245</v>
      </c>
      <c r="F199" s="30" t="s">
        <v>1812</v>
      </c>
      <c r="G199" s="30" t="s">
        <v>245</v>
      </c>
      <c r="H199" s="30" t="s">
        <v>245</v>
      </c>
      <c r="I199" s="30" t="s">
        <v>1813</v>
      </c>
      <c r="J199" s="30" t="s">
        <v>1814</v>
      </c>
      <c r="K199" s="30" t="s">
        <v>245</v>
      </c>
      <c r="L199" s="30" t="s">
        <v>245</v>
      </c>
      <c r="M199" s="30" t="s">
        <v>245</v>
      </c>
      <c r="N199" s="30" t="s">
        <v>245</v>
      </c>
      <c r="O199" s="30" t="s">
        <v>245</v>
      </c>
      <c r="P199" s="30" t="s">
        <v>245</v>
      </c>
      <c r="Q199" s="30" t="s">
        <v>245</v>
      </c>
      <c r="R199" s="30" t="s">
        <v>245</v>
      </c>
      <c r="S199" s="30" t="s">
        <v>245</v>
      </c>
      <c r="T199" s="30" t="s">
        <v>245</v>
      </c>
      <c r="U199" s="30" t="s">
        <v>245</v>
      </c>
      <c r="V199" s="30" t="s">
        <v>245</v>
      </c>
      <c r="W199" s="30" t="s">
        <v>245</v>
      </c>
      <c r="X199" s="30" t="s">
        <v>245</v>
      </c>
      <c r="Y199" s="30" t="s">
        <v>245</v>
      </c>
      <c r="Z199" s="30" t="s">
        <v>245</v>
      </c>
      <c r="AA199" s="30" t="s">
        <v>1815</v>
      </c>
      <c r="AB199" s="30" t="s">
        <v>1816</v>
      </c>
      <c r="AC199" s="30" t="s">
        <v>245</v>
      </c>
      <c r="AD199" s="30" t="s">
        <v>245</v>
      </c>
      <c r="AE199" s="30" t="s">
        <v>245</v>
      </c>
      <c r="AF199" s="30" t="s">
        <v>245</v>
      </c>
      <c r="AG199" s="30" t="s">
        <v>245</v>
      </c>
      <c r="AH199" s="30" t="s">
        <v>245</v>
      </c>
      <c r="AI199" s="30" t="s">
        <v>245</v>
      </c>
      <c r="AJ199" s="30" t="s">
        <v>245</v>
      </c>
      <c r="AK199" s="30" t="s">
        <v>245</v>
      </c>
      <c r="AL199" s="30" t="s">
        <v>245</v>
      </c>
      <c r="AM199" s="30" t="s">
        <v>245</v>
      </c>
      <c r="AN199" s="30" t="s">
        <v>245</v>
      </c>
      <c r="AO199" s="30" t="s">
        <v>1817</v>
      </c>
      <c r="AP199" s="30" t="s">
        <v>245</v>
      </c>
      <c r="AQ199" s="30" t="s">
        <v>245</v>
      </c>
      <c r="AR199" s="30" t="s">
        <v>245</v>
      </c>
      <c r="AS199" s="30" t="s">
        <v>245</v>
      </c>
      <c r="AT199" s="30" t="s">
        <v>444</v>
      </c>
      <c r="AU199" s="30">
        <v>2021</v>
      </c>
      <c r="AV199" s="30">
        <v>21</v>
      </c>
      <c r="AW199" s="30">
        <v>1</v>
      </c>
      <c r="AX199" s="30" t="s">
        <v>245</v>
      </c>
      <c r="AY199" s="30" t="s">
        <v>245</v>
      </c>
      <c r="AZ199" s="30" t="s">
        <v>245</v>
      </c>
      <c r="BA199" s="30" t="s">
        <v>245</v>
      </c>
      <c r="BB199" s="30" t="s">
        <v>245</v>
      </c>
      <c r="BC199" s="30" t="s">
        <v>245</v>
      </c>
      <c r="BD199" s="30">
        <v>246</v>
      </c>
      <c r="BE199" s="30" t="s">
        <v>1818</v>
      </c>
      <c r="BF199" s="30" t="str">
        <f>HYPERLINK("http://dx.doi.org/10.1186/s12866-021-02313-z","http://dx.doi.org/10.1186/s12866-021-02313-z")</f>
        <v>http://dx.doi.org/10.1186/s12866-021-02313-z</v>
      </c>
      <c r="BG199" s="30" t="s">
        <v>245</v>
      </c>
      <c r="BH199" s="30" t="s">
        <v>245</v>
      </c>
      <c r="BI199" s="30" t="s">
        <v>245</v>
      </c>
      <c r="BJ199" s="30" t="s">
        <v>245</v>
      </c>
      <c r="BK199" s="30" t="s">
        <v>245</v>
      </c>
      <c r="BL199" s="30" t="s">
        <v>245</v>
      </c>
      <c r="BM199" s="30" t="s">
        <v>245</v>
      </c>
      <c r="BN199" s="30">
        <v>34521348</v>
      </c>
      <c r="BO199" s="30" t="s">
        <v>245</v>
      </c>
      <c r="BP199" s="30" t="s">
        <v>245</v>
      </c>
      <c r="BQ199" s="30" t="s">
        <v>245</v>
      </c>
      <c r="BR199" s="30" t="s">
        <v>245</v>
      </c>
      <c r="BS199" s="30" t="s">
        <v>1819</v>
      </c>
      <c r="BT199" s="30" t="str">
        <f>HYPERLINK("https%3A%2F%2Fwww.webofscience.com%2Fwos%2Fwoscc%2Ffull-record%2FWOS:000695828900001","View Full Record in Web of Science")</f>
        <v>View Full Record in Web of Science</v>
      </c>
    </row>
    <row r="200" spans="1:72" x14ac:dyDescent="0.2">
      <c r="A200" s="30" t="s">
        <v>243</v>
      </c>
      <c r="B200" s="30" t="s">
        <v>1820</v>
      </c>
      <c r="C200" s="30" t="s">
        <v>245</v>
      </c>
      <c r="D200" s="30" t="s">
        <v>245</v>
      </c>
      <c r="E200" s="30" t="s">
        <v>245</v>
      </c>
      <c r="F200" s="30" t="s">
        <v>1821</v>
      </c>
      <c r="G200" s="30" t="s">
        <v>245</v>
      </c>
      <c r="H200" s="30" t="s">
        <v>245</v>
      </c>
      <c r="I200" s="30" t="s">
        <v>1822</v>
      </c>
      <c r="J200" s="30" t="s">
        <v>469</v>
      </c>
      <c r="K200" s="30" t="s">
        <v>245</v>
      </c>
      <c r="L200" s="30" t="s">
        <v>245</v>
      </c>
      <c r="M200" s="30" t="s">
        <v>245</v>
      </c>
      <c r="N200" s="30" t="s">
        <v>245</v>
      </c>
      <c r="O200" s="30" t="s">
        <v>245</v>
      </c>
      <c r="P200" s="30" t="s">
        <v>245</v>
      </c>
      <c r="Q200" s="30" t="s">
        <v>245</v>
      </c>
      <c r="R200" s="30" t="s">
        <v>245</v>
      </c>
      <c r="S200" s="30" t="s">
        <v>245</v>
      </c>
      <c r="T200" s="30" t="s">
        <v>245</v>
      </c>
      <c r="U200" s="30" t="s">
        <v>245</v>
      </c>
      <c r="V200" s="30" t="s">
        <v>245</v>
      </c>
      <c r="W200" s="30" t="s">
        <v>245</v>
      </c>
      <c r="X200" s="30" t="s">
        <v>245</v>
      </c>
      <c r="Y200" s="30" t="s">
        <v>245</v>
      </c>
      <c r="Z200" s="30" t="s">
        <v>245</v>
      </c>
      <c r="AA200" s="30" t="s">
        <v>1823</v>
      </c>
      <c r="AB200" s="30" t="s">
        <v>1824</v>
      </c>
      <c r="AC200" s="30" t="s">
        <v>245</v>
      </c>
      <c r="AD200" s="30" t="s">
        <v>245</v>
      </c>
      <c r="AE200" s="30" t="s">
        <v>245</v>
      </c>
      <c r="AF200" s="30" t="s">
        <v>245</v>
      </c>
      <c r="AG200" s="30" t="s">
        <v>245</v>
      </c>
      <c r="AH200" s="30" t="s">
        <v>245</v>
      </c>
      <c r="AI200" s="30" t="s">
        <v>245</v>
      </c>
      <c r="AJ200" s="30" t="s">
        <v>245</v>
      </c>
      <c r="AK200" s="30" t="s">
        <v>245</v>
      </c>
      <c r="AL200" s="30" t="s">
        <v>245</v>
      </c>
      <c r="AM200" s="30" t="s">
        <v>245</v>
      </c>
      <c r="AN200" s="30" t="s">
        <v>245</v>
      </c>
      <c r="AO200" s="30" t="s">
        <v>472</v>
      </c>
      <c r="AP200" s="30" t="s">
        <v>473</v>
      </c>
      <c r="AQ200" s="30" t="s">
        <v>245</v>
      </c>
      <c r="AR200" s="30" t="s">
        <v>245</v>
      </c>
      <c r="AS200" s="30" t="s">
        <v>245</v>
      </c>
      <c r="AT200" s="30" t="s">
        <v>550</v>
      </c>
      <c r="AU200" s="30">
        <v>2023</v>
      </c>
      <c r="AV200" s="30">
        <v>439</v>
      </c>
      <c r="AW200" s="30" t="s">
        <v>245</v>
      </c>
      <c r="AX200" s="30" t="s">
        <v>245</v>
      </c>
      <c r="AY200" s="30" t="s">
        <v>245</v>
      </c>
      <c r="AZ200" s="30" t="s">
        <v>245</v>
      </c>
      <c r="BA200" s="30" t="s">
        <v>245</v>
      </c>
      <c r="BB200" s="30" t="s">
        <v>245</v>
      </c>
      <c r="BC200" s="30" t="s">
        <v>245</v>
      </c>
      <c r="BD200" s="30">
        <v>116682</v>
      </c>
      <c r="BE200" s="30" t="s">
        <v>1825</v>
      </c>
      <c r="BF200" s="30" t="str">
        <f>HYPERLINK("http://dx.doi.org/10.1016/j.geoderma.2023.116682","http://dx.doi.org/10.1016/j.geoderma.2023.116682")</f>
        <v>http://dx.doi.org/10.1016/j.geoderma.2023.116682</v>
      </c>
      <c r="BG200" s="30" t="s">
        <v>245</v>
      </c>
      <c r="BH200" s="30" t="s">
        <v>607</v>
      </c>
      <c r="BI200" s="30" t="s">
        <v>245</v>
      </c>
      <c r="BJ200" s="30" t="s">
        <v>245</v>
      </c>
      <c r="BK200" s="30" t="s">
        <v>245</v>
      </c>
      <c r="BL200" s="30" t="s">
        <v>245</v>
      </c>
      <c r="BM200" s="30" t="s">
        <v>245</v>
      </c>
      <c r="BN200" s="30" t="s">
        <v>245</v>
      </c>
      <c r="BO200" s="30" t="s">
        <v>245</v>
      </c>
      <c r="BP200" s="30" t="s">
        <v>245</v>
      </c>
      <c r="BQ200" s="30" t="s">
        <v>245</v>
      </c>
      <c r="BR200" s="30" t="s">
        <v>245</v>
      </c>
      <c r="BS200" s="30" t="s">
        <v>1826</v>
      </c>
      <c r="BT200" s="30" t="str">
        <f>HYPERLINK("https%3A%2F%2Fwww.webofscience.com%2Fwos%2Fwoscc%2Ffull-record%2FWOS:001097420800001","View Full Record in Web of Science")</f>
        <v>View Full Record in Web of Science</v>
      </c>
    </row>
    <row r="201" spans="1:72" x14ac:dyDescent="0.2">
      <c r="A201" s="30" t="s">
        <v>243</v>
      </c>
      <c r="B201" s="30" t="s">
        <v>1827</v>
      </c>
      <c r="C201" s="30" t="s">
        <v>245</v>
      </c>
      <c r="D201" s="30" t="s">
        <v>245</v>
      </c>
      <c r="E201" s="30" t="s">
        <v>245</v>
      </c>
      <c r="F201" s="30" t="s">
        <v>1828</v>
      </c>
      <c r="G201" s="30" t="s">
        <v>245</v>
      </c>
      <c r="H201" s="30" t="s">
        <v>245</v>
      </c>
      <c r="I201" s="30" t="s">
        <v>1829</v>
      </c>
      <c r="J201" s="30" t="s">
        <v>432</v>
      </c>
      <c r="K201" s="30" t="s">
        <v>245</v>
      </c>
      <c r="L201" s="30" t="s">
        <v>245</v>
      </c>
      <c r="M201" s="30" t="s">
        <v>245</v>
      </c>
      <c r="N201" s="30" t="s">
        <v>245</v>
      </c>
      <c r="O201" s="30" t="s">
        <v>245</v>
      </c>
      <c r="P201" s="30" t="s">
        <v>245</v>
      </c>
      <c r="Q201" s="30" t="s">
        <v>245</v>
      </c>
      <c r="R201" s="30" t="s">
        <v>245</v>
      </c>
      <c r="S201" s="30" t="s">
        <v>245</v>
      </c>
      <c r="T201" s="30" t="s">
        <v>245</v>
      </c>
      <c r="U201" s="30" t="s">
        <v>245</v>
      </c>
      <c r="V201" s="30" t="s">
        <v>245</v>
      </c>
      <c r="W201" s="30" t="s">
        <v>245</v>
      </c>
      <c r="X201" s="30" t="s">
        <v>245</v>
      </c>
      <c r="Y201" s="30" t="s">
        <v>245</v>
      </c>
      <c r="Z201" s="30" t="s">
        <v>245</v>
      </c>
      <c r="AA201" s="30" t="s">
        <v>245</v>
      </c>
      <c r="AB201" s="30" t="s">
        <v>245</v>
      </c>
      <c r="AC201" s="30" t="s">
        <v>245</v>
      </c>
      <c r="AD201" s="30" t="s">
        <v>245</v>
      </c>
      <c r="AE201" s="30" t="s">
        <v>245</v>
      </c>
      <c r="AF201" s="30" t="s">
        <v>245</v>
      </c>
      <c r="AG201" s="30" t="s">
        <v>245</v>
      </c>
      <c r="AH201" s="30" t="s">
        <v>245</v>
      </c>
      <c r="AI201" s="30" t="s">
        <v>245</v>
      </c>
      <c r="AJ201" s="30" t="s">
        <v>245</v>
      </c>
      <c r="AK201" s="30" t="s">
        <v>245</v>
      </c>
      <c r="AL201" s="30" t="s">
        <v>245</v>
      </c>
      <c r="AM201" s="30" t="s">
        <v>245</v>
      </c>
      <c r="AN201" s="30" t="s">
        <v>245</v>
      </c>
      <c r="AO201" s="30" t="s">
        <v>433</v>
      </c>
      <c r="AP201" s="30" t="s">
        <v>434</v>
      </c>
      <c r="AQ201" s="30" t="s">
        <v>245</v>
      </c>
      <c r="AR201" s="30" t="s">
        <v>245</v>
      </c>
      <c r="AS201" s="30" t="s">
        <v>245</v>
      </c>
      <c r="AT201" s="30" t="s">
        <v>297</v>
      </c>
      <c r="AU201" s="30">
        <v>2013</v>
      </c>
      <c r="AV201" s="30">
        <v>371</v>
      </c>
      <c r="AW201" s="30" t="s">
        <v>436</v>
      </c>
      <c r="AX201" s="30" t="s">
        <v>245</v>
      </c>
      <c r="AY201" s="30" t="s">
        <v>245</v>
      </c>
      <c r="AZ201" s="30" t="s">
        <v>245</v>
      </c>
      <c r="BA201" s="30" t="s">
        <v>245</v>
      </c>
      <c r="BB201" s="30">
        <v>257</v>
      </c>
      <c r="BC201" s="30">
        <v>266</v>
      </c>
      <c r="BD201" s="30" t="s">
        <v>245</v>
      </c>
      <c r="BE201" s="30" t="s">
        <v>1830</v>
      </c>
      <c r="BF201" s="30" t="str">
        <f>HYPERLINK("http://dx.doi.org/10.1007/s11104-013-1664-6","http://dx.doi.org/10.1007/s11104-013-1664-6")</f>
        <v>http://dx.doi.org/10.1007/s11104-013-1664-6</v>
      </c>
      <c r="BG201" s="30" t="s">
        <v>245</v>
      </c>
      <c r="BH201" s="30" t="s">
        <v>245</v>
      </c>
      <c r="BI201" s="30" t="s">
        <v>245</v>
      </c>
      <c r="BJ201" s="30" t="s">
        <v>245</v>
      </c>
      <c r="BK201" s="30" t="s">
        <v>245</v>
      </c>
      <c r="BL201" s="30" t="s">
        <v>245</v>
      </c>
      <c r="BM201" s="30" t="s">
        <v>245</v>
      </c>
      <c r="BN201" s="30" t="s">
        <v>245</v>
      </c>
      <c r="BO201" s="30" t="s">
        <v>245</v>
      </c>
      <c r="BP201" s="30" t="s">
        <v>245</v>
      </c>
      <c r="BQ201" s="30" t="s">
        <v>245</v>
      </c>
      <c r="BR201" s="30" t="s">
        <v>245</v>
      </c>
      <c r="BS201" s="30" t="s">
        <v>1831</v>
      </c>
      <c r="BT201" s="30" t="str">
        <f>HYPERLINK("https%3A%2F%2Fwww.webofscience.com%2Fwos%2Fwoscc%2Ffull-record%2FWOS:000324882500019","View Full Record in Web of Science")</f>
        <v>View Full Record in Web of Science</v>
      </c>
    </row>
    <row r="202" spans="1:72" x14ac:dyDescent="0.2">
      <c r="A202" s="30" t="s">
        <v>243</v>
      </c>
      <c r="B202" s="30" t="s">
        <v>1832</v>
      </c>
      <c r="C202" s="30" t="s">
        <v>245</v>
      </c>
      <c r="D202" s="30" t="s">
        <v>245</v>
      </c>
      <c r="E202" s="30" t="s">
        <v>245</v>
      </c>
      <c r="F202" s="30" t="s">
        <v>1833</v>
      </c>
      <c r="G202" s="30" t="s">
        <v>245</v>
      </c>
      <c r="H202" s="30" t="s">
        <v>245</v>
      </c>
      <c r="I202" s="30" t="s">
        <v>1834</v>
      </c>
      <c r="J202" s="30" t="s">
        <v>1835</v>
      </c>
      <c r="K202" s="30" t="s">
        <v>245</v>
      </c>
      <c r="L202" s="30" t="s">
        <v>245</v>
      </c>
      <c r="M202" s="30" t="s">
        <v>245</v>
      </c>
      <c r="N202" s="30" t="s">
        <v>245</v>
      </c>
      <c r="O202" s="30" t="s">
        <v>245</v>
      </c>
      <c r="P202" s="30" t="s">
        <v>245</v>
      </c>
      <c r="Q202" s="30" t="s">
        <v>245</v>
      </c>
      <c r="R202" s="30" t="s">
        <v>245</v>
      </c>
      <c r="S202" s="30" t="s">
        <v>245</v>
      </c>
      <c r="T202" s="30" t="s">
        <v>245</v>
      </c>
      <c r="U202" s="30" t="s">
        <v>245</v>
      </c>
      <c r="V202" s="30" t="s">
        <v>245</v>
      </c>
      <c r="W202" s="30" t="s">
        <v>245</v>
      </c>
      <c r="X202" s="30" t="s">
        <v>245</v>
      </c>
      <c r="Y202" s="30" t="s">
        <v>245</v>
      </c>
      <c r="Z202" s="30" t="s">
        <v>245</v>
      </c>
      <c r="AA202" s="30" t="s">
        <v>1836</v>
      </c>
      <c r="AB202" s="30" t="s">
        <v>1837</v>
      </c>
      <c r="AC202" s="30" t="s">
        <v>245</v>
      </c>
      <c r="AD202" s="30" t="s">
        <v>245</v>
      </c>
      <c r="AE202" s="30" t="s">
        <v>245</v>
      </c>
      <c r="AF202" s="30" t="s">
        <v>245</v>
      </c>
      <c r="AG202" s="30" t="s">
        <v>245</v>
      </c>
      <c r="AH202" s="30" t="s">
        <v>245</v>
      </c>
      <c r="AI202" s="30" t="s">
        <v>245</v>
      </c>
      <c r="AJ202" s="30" t="s">
        <v>245</v>
      </c>
      <c r="AK202" s="30" t="s">
        <v>245</v>
      </c>
      <c r="AL202" s="30" t="s">
        <v>245</v>
      </c>
      <c r="AM202" s="30" t="s">
        <v>245</v>
      </c>
      <c r="AN202" s="30" t="s">
        <v>245</v>
      </c>
      <c r="AO202" s="30" t="s">
        <v>1838</v>
      </c>
      <c r="AP202" s="30" t="s">
        <v>245</v>
      </c>
      <c r="AQ202" s="30" t="s">
        <v>245</v>
      </c>
      <c r="AR202" s="30" t="s">
        <v>245</v>
      </c>
      <c r="AS202" s="30" t="s">
        <v>245</v>
      </c>
      <c r="AT202" s="30" t="s">
        <v>1839</v>
      </c>
      <c r="AU202" s="30">
        <v>2011</v>
      </c>
      <c r="AV202" s="30">
        <v>6</v>
      </c>
      <c r="AW202" s="30">
        <v>4</v>
      </c>
      <c r="AX202" s="30" t="s">
        <v>245</v>
      </c>
      <c r="AY202" s="30" t="s">
        <v>245</v>
      </c>
      <c r="AZ202" s="30" t="s">
        <v>245</v>
      </c>
      <c r="BA202" s="30" t="s">
        <v>245</v>
      </c>
      <c r="BB202" s="30" t="s">
        <v>245</v>
      </c>
      <c r="BC202" s="30" t="s">
        <v>245</v>
      </c>
      <c r="BD202" s="30">
        <v>44016</v>
      </c>
      <c r="BE202" s="30" t="s">
        <v>1840</v>
      </c>
      <c r="BF202" s="30" t="str">
        <f>HYPERLINK("http://dx.doi.org/10.1088/1748-9326/6/4/044016","http://dx.doi.org/10.1088/1748-9326/6/4/044016")</f>
        <v>http://dx.doi.org/10.1088/1748-9326/6/4/044016</v>
      </c>
      <c r="BG202" s="30" t="s">
        <v>245</v>
      </c>
      <c r="BH202" s="30" t="s">
        <v>245</v>
      </c>
      <c r="BI202" s="30" t="s">
        <v>245</v>
      </c>
      <c r="BJ202" s="30" t="s">
        <v>245</v>
      </c>
      <c r="BK202" s="30" t="s">
        <v>245</v>
      </c>
      <c r="BL202" s="30" t="s">
        <v>245</v>
      </c>
      <c r="BM202" s="30" t="s">
        <v>245</v>
      </c>
      <c r="BN202" s="30" t="s">
        <v>245</v>
      </c>
      <c r="BO202" s="30" t="s">
        <v>245</v>
      </c>
      <c r="BP202" s="30" t="s">
        <v>245</v>
      </c>
      <c r="BQ202" s="30" t="s">
        <v>245</v>
      </c>
      <c r="BR202" s="30" t="s">
        <v>245</v>
      </c>
      <c r="BS202" s="30" t="s">
        <v>1841</v>
      </c>
      <c r="BT202" s="30" t="str">
        <f>HYPERLINK("https%3A%2F%2Fwww.webofscience.com%2Fwos%2Fwoscc%2Ffull-record%2FWOS:000298674700021","View Full Record in Web of Science")</f>
        <v>View Full Record in Web of Science</v>
      </c>
    </row>
    <row r="203" spans="1:72" x14ac:dyDescent="0.2">
      <c r="A203" s="30" t="s">
        <v>243</v>
      </c>
      <c r="B203" s="30" t="s">
        <v>1842</v>
      </c>
      <c r="C203" s="30" t="s">
        <v>245</v>
      </c>
      <c r="D203" s="30" t="s">
        <v>245</v>
      </c>
      <c r="E203" s="30" t="s">
        <v>245</v>
      </c>
      <c r="F203" s="30" t="s">
        <v>1843</v>
      </c>
      <c r="G203" s="30" t="s">
        <v>245</v>
      </c>
      <c r="H203" s="30" t="s">
        <v>245</v>
      </c>
      <c r="I203" s="30" t="s">
        <v>1844</v>
      </c>
      <c r="J203" s="30" t="s">
        <v>541</v>
      </c>
      <c r="K203" s="30" t="s">
        <v>245</v>
      </c>
      <c r="L203" s="30" t="s">
        <v>245</v>
      </c>
      <c r="M203" s="30" t="s">
        <v>245</v>
      </c>
      <c r="N203" s="30" t="s">
        <v>245</v>
      </c>
      <c r="O203" s="30" t="s">
        <v>245</v>
      </c>
      <c r="P203" s="30" t="s">
        <v>245</v>
      </c>
      <c r="Q203" s="30" t="s">
        <v>245</v>
      </c>
      <c r="R203" s="30" t="s">
        <v>245</v>
      </c>
      <c r="S203" s="30" t="s">
        <v>245</v>
      </c>
      <c r="T203" s="30" t="s">
        <v>245</v>
      </c>
      <c r="U203" s="30" t="s">
        <v>245</v>
      </c>
      <c r="V203" s="30" t="s">
        <v>245</v>
      </c>
      <c r="W203" s="30" t="s">
        <v>245</v>
      </c>
      <c r="X203" s="30" t="s">
        <v>245</v>
      </c>
      <c r="Y203" s="30" t="s">
        <v>245</v>
      </c>
      <c r="Z203" s="30" t="s">
        <v>245</v>
      </c>
      <c r="AA203" s="30" t="s">
        <v>1845</v>
      </c>
      <c r="AB203" s="30" t="s">
        <v>1846</v>
      </c>
      <c r="AC203" s="30" t="s">
        <v>245</v>
      </c>
      <c r="AD203" s="30" t="s">
        <v>245</v>
      </c>
      <c r="AE203" s="30" t="s">
        <v>245</v>
      </c>
      <c r="AF203" s="30" t="s">
        <v>245</v>
      </c>
      <c r="AG203" s="30" t="s">
        <v>245</v>
      </c>
      <c r="AH203" s="30" t="s">
        <v>245</v>
      </c>
      <c r="AI203" s="30" t="s">
        <v>245</v>
      </c>
      <c r="AJ203" s="30" t="s">
        <v>245</v>
      </c>
      <c r="AK203" s="30" t="s">
        <v>245</v>
      </c>
      <c r="AL203" s="30" t="s">
        <v>245</v>
      </c>
      <c r="AM203" s="30" t="s">
        <v>245</v>
      </c>
      <c r="AN203" s="30" t="s">
        <v>245</v>
      </c>
      <c r="AO203" s="30" t="s">
        <v>544</v>
      </c>
      <c r="AP203" s="30" t="s">
        <v>545</v>
      </c>
      <c r="AQ203" s="30" t="s">
        <v>245</v>
      </c>
      <c r="AR203" s="30" t="s">
        <v>245</v>
      </c>
      <c r="AS203" s="30" t="s">
        <v>245</v>
      </c>
      <c r="AT203" s="30" t="s">
        <v>635</v>
      </c>
      <c r="AU203" s="30">
        <v>2021</v>
      </c>
      <c r="AV203" s="30">
        <v>319</v>
      </c>
      <c r="AW203" s="30" t="s">
        <v>245</v>
      </c>
      <c r="AX203" s="30" t="s">
        <v>245</v>
      </c>
      <c r="AY203" s="30" t="s">
        <v>245</v>
      </c>
      <c r="AZ203" s="30" t="s">
        <v>245</v>
      </c>
      <c r="BA203" s="30" t="s">
        <v>245</v>
      </c>
      <c r="BB203" s="30" t="s">
        <v>245</v>
      </c>
      <c r="BC203" s="30" t="s">
        <v>245</v>
      </c>
      <c r="BD203" s="30">
        <v>107545</v>
      </c>
      <c r="BE203" s="30" t="s">
        <v>1847</v>
      </c>
      <c r="BF203" s="30" t="str">
        <f>HYPERLINK("http://dx.doi.org/10.1016/j.agee.2021.107545","http://dx.doi.org/10.1016/j.agee.2021.107545")</f>
        <v>http://dx.doi.org/10.1016/j.agee.2021.107545</v>
      </c>
      <c r="BG203" s="30" t="s">
        <v>245</v>
      </c>
      <c r="BH203" s="30" t="s">
        <v>1328</v>
      </c>
      <c r="BI203" s="30" t="s">
        <v>245</v>
      </c>
      <c r="BJ203" s="30" t="s">
        <v>245</v>
      </c>
      <c r="BK203" s="30" t="s">
        <v>245</v>
      </c>
      <c r="BL203" s="30" t="s">
        <v>245</v>
      </c>
      <c r="BM203" s="30" t="s">
        <v>245</v>
      </c>
      <c r="BN203" s="30" t="s">
        <v>245</v>
      </c>
      <c r="BO203" s="30" t="s">
        <v>245</v>
      </c>
      <c r="BP203" s="30" t="s">
        <v>245</v>
      </c>
      <c r="BQ203" s="30" t="s">
        <v>245</v>
      </c>
      <c r="BR203" s="30" t="s">
        <v>245</v>
      </c>
      <c r="BS203" s="30" t="s">
        <v>1848</v>
      </c>
      <c r="BT203" s="30" t="str">
        <f>HYPERLINK("https%3A%2F%2Fwww.webofscience.com%2Fwos%2Fwoscc%2Ffull-record%2FWOS:000685518100006","View Full Record in Web of Science")</f>
        <v>View Full Record in Web of Science</v>
      </c>
    </row>
    <row r="204" spans="1:72" x14ac:dyDescent="0.2">
      <c r="A204" s="30" t="s">
        <v>243</v>
      </c>
      <c r="B204" s="30" t="s">
        <v>1849</v>
      </c>
      <c r="C204" s="30" t="s">
        <v>245</v>
      </c>
      <c r="D204" s="30" t="s">
        <v>245</v>
      </c>
      <c r="E204" s="30" t="s">
        <v>245</v>
      </c>
      <c r="F204" s="30" t="s">
        <v>1850</v>
      </c>
      <c r="G204" s="30" t="s">
        <v>245</v>
      </c>
      <c r="H204" s="30" t="s">
        <v>245</v>
      </c>
      <c r="I204" s="30" t="s">
        <v>1851</v>
      </c>
      <c r="J204" s="30" t="s">
        <v>1563</v>
      </c>
      <c r="K204" s="30" t="s">
        <v>245</v>
      </c>
      <c r="L204" s="30" t="s">
        <v>245</v>
      </c>
      <c r="M204" s="30" t="s">
        <v>245</v>
      </c>
      <c r="N204" s="30" t="s">
        <v>245</v>
      </c>
      <c r="O204" s="30" t="s">
        <v>245</v>
      </c>
      <c r="P204" s="30" t="s">
        <v>245</v>
      </c>
      <c r="Q204" s="30" t="s">
        <v>245</v>
      </c>
      <c r="R204" s="30" t="s">
        <v>245</v>
      </c>
      <c r="S204" s="30" t="s">
        <v>245</v>
      </c>
      <c r="T204" s="30" t="s">
        <v>245</v>
      </c>
      <c r="U204" s="30" t="s">
        <v>245</v>
      </c>
      <c r="V204" s="30" t="s">
        <v>245</v>
      </c>
      <c r="W204" s="30" t="s">
        <v>245</v>
      </c>
      <c r="X204" s="30" t="s">
        <v>245</v>
      </c>
      <c r="Y204" s="30" t="s">
        <v>245</v>
      </c>
      <c r="Z204" s="30" t="s">
        <v>245</v>
      </c>
      <c r="AA204" s="30" t="s">
        <v>1852</v>
      </c>
      <c r="AB204" s="30" t="s">
        <v>1853</v>
      </c>
      <c r="AC204" s="30" t="s">
        <v>245</v>
      </c>
      <c r="AD204" s="30" t="s">
        <v>245</v>
      </c>
      <c r="AE204" s="30" t="s">
        <v>245</v>
      </c>
      <c r="AF204" s="30" t="s">
        <v>245</v>
      </c>
      <c r="AG204" s="30" t="s">
        <v>245</v>
      </c>
      <c r="AH204" s="30" t="s">
        <v>245</v>
      </c>
      <c r="AI204" s="30" t="s">
        <v>245</v>
      </c>
      <c r="AJ204" s="30" t="s">
        <v>245</v>
      </c>
      <c r="AK204" s="30" t="s">
        <v>245</v>
      </c>
      <c r="AL204" s="30" t="s">
        <v>245</v>
      </c>
      <c r="AM204" s="30" t="s">
        <v>245</v>
      </c>
      <c r="AN204" s="30" t="s">
        <v>245</v>
      </c>
      <c r="AO204" s="30" t="s">
        <v>1564</v>
      </c>
      <c r="AP204" s="30" t="s">
        <v>1565</v>
      </c>
      <c r="AQ204" s="30" t="s">
        <v>245</v>
      </c>
      <c r="AR204" s="30" t="s">
        <v>245</v>
      </c>
      <c r="AS204" s="30" t="s">
        <v>245</v>
      </c>
      <c r="AT204" s="30" t="s">
        <v>454</v>
      </c>
      <c r="AU204" s="30">
        <v>2012</v>
      </c>
      <c r="AV204" s="30">
        <v>223</v>
      </c>
      <c r="AW204" s="30">
        <v>7</v>
      </c>
      <c r="AX204" s="30" t="s">
        <v>245</v>
      </c>
      <c r="AY204" s="30" t="s">
        <v>245</v>
      </c>
      <c r="AZ204" s="30" t="s">
        <v>245</v>
      </c>
      <c r="BA204" s="30" t="s">
        <v>245</v>
      </c>
      <c r="BB204" s="30">
        <v>4459</v>
      </c>
      <c r="BC204" s="30">
        <v>4469</v>
      </c>
      <c r="BD204" s="30" t="s">
        <v>245</v>
      </c>
      <c r="BE204" s="30" t="s">
        <v>1854</v>
      </c>
      <c r="BF204" s="30" t="str">
        <f>HYPERLINK("http://dx.doi.org/10.1007/s11270-012-1209-2","http://dx.doi.org/10.1007/s11270-012-1209-2")</f>
        <v>http://dx.doi.org/10.1007/s11270-012-1209-2</v>
      </c>
      <c r="BG204" s="30" t="s">
        <v>245</v>
      </c>
      <c r="BH204" s="30" t="s">
        <v>245</v>
      </c>
      <c r="BI204" s="30" t="s">
        <v>245</v>
      </c>
      <c r="BJ204" s="30" t="s">
        <v>245</v>
      </c>
      <c r="BK204" s="30" t="s">
        <v>245</v>
      </c>
      <c r="BL204" s="30" t="s">
        <v>245</v>
      </c>
      <c r="BM204" s="30" t="s">
        <v>245</v>
      </c>
      <c r="BN204" s="30" t="s">
        <v>245</v>
      </c>
      <c r="BO204" s="30" t="s">
        <v>245</v>
      </c>
      <c r="BP204" s="30" t="s">
        <v>245</v>
      </c>
      <c r="BQ204" s="30" t="s">
        <v>245</v>
      </c>
      <c r="BR204" s="30" t="s">
        <v>245</v>
      </c>
      <c r="BS204" s="30" t="s">
        <v>1855</v>
      </c>
      <c r="BT204" s="30" t="str">
        <f>HYPERLINK("https%3A%2F%2Fwww.webofscience.com%2Fwos%2Fwoscc%2Ffull-record%2FWOS:000307276400072","View Full Record in Web of Science")</f>
        <v>View Full Record in Web of Science</v>
      </c>
    </row>
    <row r="205" spans="1:72" x14ac:dyDescent="0.2">
      <c r="A205" s="30" t="s">
        <v>243</v>
      </c>
      <c r="B205" s="30" t="s">
        <v>1856</v>
      </c>
      <c r="C205" s="30" t="s">
        <v>245</v>
      </c>
      <c r="D205" s="30" t="s">
        <v>245</v>
      </c>
      <c r="E205" s="30" t="s">
        <v>245</v>
      </c>
      <c r="F205" s="30" t="s">
        <v>1857</v>
      </c>
      <c r="G205" s="30" t="s">
        <v>245</v>
      </c>
      <c r="H205" s="30" t="s">
        <v>245</v>
      </c>
      <c r="I205" s="30" t="s">
        <v>1858</v>
      </c>
      <c r="J205" s="30" t="s">
        <v>1122</v>
      </c>
      <c r="K205" s="30" t="s">
        <v>245</v>
      </c>
      <c r="L205" s="30" t="s">
        <v>245</v>
      </c>
      <c r="M205" s="30" t="s">
        <v>245</v>
      </c>
      <c r="N205" s="30" t="s">
        <v>245</v>
      </c>
      <c r="O205" s="30" t="s">
        <v>245</v>
      </c>
      <c r="P205" s="30" t="s">
        <v>245</v>
      </c>
      <c r="Q205" s="30" t="s">
        <v>245</v>
      </c>
      <c r="R205" s="30" t="s">
        <v>245</v>
      </c>
      <c r="S205" s="30" t="s">
        <v>245</v>
      </c>
      <c r="T205" s="30" t="s">
        <v>245</v>
      </c>
      <c r="U205" s="30" t="s">
        <v>245</v>
      </c>
      <c r="V205" s="30" t="s">
        <v>245</v>
      </c>
      <c r="W205" s="30" t="s">
        <v>245</v>
      </c>
      <c r="X205" s="30" t="s">
        <v>245</v>
      </c>
      <c r="Y205" s="30" t="s">
        <v>245</v>
      </c>
      <c r="Z205" s="30" t="s">
        <v>245</v>
      </c>
      <c r="AA205" s="30" t="s">
        <v>245</v>
      </c>
      <c r="AB205" s="30" t="s">
        <v>245</v>
      </c>
      <c r="AC205" s="30" t="s">
        <v>245</v>
      </c>
      <c r="AD205" s="30" t="s">
        <v>245</v>
      </c>
      <c r="AE205" s="30" t="s">
        <v>245</v>
      </c>
      <c r="AF205" s="30" t="s">
        <v>245</v>
      </c>
      <c r="AG205" s="30" t="s">
        <v>245</v>
      </c>
      <c r="AH205" s="30" t="s">
        <v>245</v>
      </c>
      <c r="AI205" s="30" t="s">
        <v>245</v>
      </c>
      <c r="AJ205" s="30" t="s">
        <v>245</v>
      </c>
      <c r="AK205" s="30" t="s">
        <v>245</v>
      </c>
      <c r="AL205" s="30" t="s">
        <v>245</v>
      </c>
      <c r="AM205" s="30" t="s">
        <v>245</v>
      </c>
      <c r="AN205" s="30" t="s">
        <v>245</v>
      </c>
      <c r="AO205" s="30" t="s">
        <v>245</v>
      </c>
      <c r="AP205" s="30" t="s">
        <v>1125</v>
      </c>
      <c r="AQ205" s="30" t="s">
        <v>245</v>
      </c>
      <c r="AR205" s="30" t="s">
        <v>245</v>
      </c>
      <c r="AS205" s="30" t="s">
        <v>245</v>
      </c>
      <c r="AT205" s="30" t="s">
        <v>550</v>
      </c>
      <c r="AU205" s="30">
        <v>2021</v>
      </c>
      <c r="AV205" s="30">
        <v>11</v>
      </c>
      <c r="AW205" s="30">
        <v>11</v>
      </c>
      <c r="AX205" s="30" t="s">
        <v>245</v>
      </c>
      <c r="AY205" s="30" t="s">
        <v>245</v>
      </c>
      <c r="AZ205" s="30" t="s">
        <v>245</v>
      </c>
      <c r="BA205" s="30" t="s">
        <v>245</v>
      </c>
      <c r="BB205" s="30" t="s">
        <v>245</v>
      </c>
      <c r="BC205" s="30" t="s">
        <v>245</v>
      </c>
      <c r="BD205" s="30">
        <v>2215</v>
      </c>
      <c r="BE205" s="30" t="s">
        <v>1859</v>
      </c>
      <c r="BF205" s="30" t="str">
        <f>HYPERLINK("http://dx.doi.org/10.3390/agronomy11112215","http://dx.doi.org/10.3390/agronomy11112215")</f>
        <v>http://dx.doi.org/10.3390/agronomy11112215</v>
      </c>
      <c r="BG205" s="30" t="s">
        <v>245</v>
      </c>
      <c r="BH205" s="30" t="s">
        <v>245</v>
      </c>
      <c r="BI205" s="30" t="s">
        <v>245</v>
      </c>
      <c r="BJ205" s="30" t="s">
        <v>245</v>
      </c>
      <c r="BK205" s="30" t="s">
        <v>245</v>
      </c>
      <c r="BL205" s="30" t="s">
        <v>245</v>
      </c>
      <c r="BM205" s="30" t="s">
        <v>245</v>
      </c>
      <c r="BN205" s="30" t="s">
        <v>245</v>
      </c>
      <c r="BO205" s="30" t="s">
        <v>245</v>
      </c>
      <c r="BP205" s="30" t="s">
        <v>245</v>
      </c>
      <c r="BQ205" s="30" t="s">
        <v>245</v>
      </c>
      <c r="BR205" s="30" t="s">
        <v>245</v>
      </c>
      <c r="BS205" s="30" t="s">
        <v>1860</v>
      </c>
      <c r="BT205" s="30" t="str">
        <f>HYPERLINK("https%3A%2F%2Fwww.webofscience.com%2Fwos%2Fwoscc%2Ffull-record%2FWOS:000724111300001","View Full Record in Web of Science")</f>
        <v>View Full Record in Web of Science</v>
      </c>
    </row>
    <row r="206" spans="1:72" x14ac:dyDescent="0.2">
      <c r="A206" s="30" t="s">
        <v>243</v>
      </c>
      <c r="B206" s="30" t="s">
        <v>1861</v>
      </c>
      <c r="C206" s="30" t="s">
        <v>245</v>
      </c>
      <c r="D206" s="30" t="s">
        <v>245</v>
      </c>
      <c r="E206" s="30" t="s">
        <v>245</v>
      </c>
      <c r="F206" s="30" t="s">
        <v>1862</v>
      </c>
      <c r="G206" s="30" t="s">
        <v>245</v>
      </c>
      <c r="H206" s="30" t="s">
        <v>245</v>
      </c>
      <c r="I206" s="30" t="s">
        <v>1863</v>
      </c>
      <c r="J206" s="30" t="s">
        <v>765</v>
      </c>
      <c r="K206" s="30" t="s">
        <v>245</v>
      </c>
      <c r="L206" s="30" t="s">
        <v>245</v>
      </c>
      <c r="M206" s="30" t="s">
        <v>245</v>
      </c>
      <c r="N206" s="30" t="s">
        <v>245</v>
      </c>
      <c r="O206" s="30" t="s">
        <v>245</v>
      </c>
      <c r="P206" s="30" t="s">
        <v>245</v>
      </c>
      <c r="Q206" s="30" t="s">
        <v>245</v>
      </c>
      <c r="R206" s="30" t="s">
        <v>245</v>
      </c>
      <c r="S206" s="30" t="s">
        <v>245</v>
      </c>
      <c r="T206" s="30" t="s">
        <v>245</v>
      </c>
      <c r="U206" s="30" t="s">
        <v>245</v>
      </c>
      <c r="V206" s="30" t="s">
        <v>245</v>
      </c>
      <c r="W206" s="30" t="s">
        <v>245</v>
      </c>
      <c r="X206" s="30" t="s">
        <v>245</v>
      </c>
      <c r="Y206" s="30" t="s">
        <v>245</v>
      </c>
      <c r="Z206" s="30" t="s">
        <v>245</v>
      </c>
      <c r="AA206" s="30" t="s">
        <v>1864</v>
      </c>
      <c r="AB206" s="30" t="s">
        <v>1865</v>
      </c>
      <c r="AC206" s="30" t="s">
        <v>245</v>
      </c>
      <c r="AD206" s="30" t="s">
        <v>245</v>
      </c>
      <c r="AE206" s="30" t="s">
        <v>245</v>
      </c>
      <c r="AF206" s="30" t="s">
        <v>245</v>
      </c>
      <c r="AG206" s="30" t="s">
        <v>245</v>
      </c>
      <c r="AH206" s="30" t="s">
        <v>245</v>
      </c>
      <c r="AI206" s="30" t="s">
        <v>245</v>
      </c>
      <c r="AJ206" s="30" t="s">
        <v>245</v>
      </c>
      <c r="AK206" s="30" t="s">
        <v>245</v>
      </c>
      <c r="AL206" s="30" t="s">
        <v>245</v>
      </c>
      <c r="AM206" s="30" t="s">
        <v>245</v>
      </c>
      <c r="AN206" s="30" t="s">
        <v>245</v>
      </c>
      <c r="AO206" s="30" t="s">
        <v>768</v>
      </c>
      <c r="AP206" s="30" t="s">
        <v>769</v>
      </c>
      <c r="AQ206" s="30" t="s">
        <v>245</v>
      </c>
      <c r="AR206" s="30" t="s">
        <v>245</v>
      </c>
      <c r="AS206" s="30" t="s">
        <v>245</v>
      </c>
      <c r="AT206" s="30" t="s">
        <v>365</v>
      </c>
      <c r="AU206" s="30">
        <v>2011</v>
      </c>
      <c r="AV206" s="30">
        <v>45</v>
      </c>
      <c r="AW206" s="30">
        <v>5</v>
      </c>
      <c r="AX206" s="30" t="s">
        <v>245</v>
      </c>
      <c r="AY206" s="30" t="s">
        <v>245</v>
      </c>
      <c r="AZ206" s="30" t="s">
        <v>245</v>
      </c>
      <c r="BA206" s="30" t="s">
        <v>245</v>
      </c>
      <c r="BB206" s="30">
        <v>1095</v>
      </c>
      <c r="BC206" s="30">
        <v>1101</v>
      </c>
      <c r="BD206" s="30" t="s">
        <v>245</v>
      </c>
      <c r="BE206" s="30" t="s">
        <v>1866</v>
      </c>
      <c r="BF206" s="30" t="str">
        <f>HYPERLINK("http://dx.doi.org/10.1016/j.atmosenv.2010.11.039","http://dx.doi.org/10.1016/j.atmosenv.2010.11.039")</f>
        <v>http://dx.doi.org/10.1016/j.atmosenv.2010.11.039</v>
      </c>
      <c r="BG206" s="30" t="s">
        <v>245</v>
      </c>
      <c r="BH206" s="30" t="s">
        <v>245</v>
      </c>
      <c r="BI206" s="30" t="s">
        <v>245</v>
      </c>
      <c r="BJ206" s="30" t="s">
        <v>245</v>
      </c>
      <c r="BK206" s="30" t="s">
        <v>245</v>
      </c>
      <c r="BL206" s="30" t="s">
        <v>245</v>
      </c>
      <c r="BM206" s="30" t="s">
        <v>245</v>
      </c>
      <c r="BN206" s="30" t="s">
        <v>245</v>
      </c>
      <c r="BO206" s="30" t="s">
        <v>245</v>
      </c>
      <c r="BP206" s="30" t="s">
        <v>245</v>
      </c>
      <c r="BQ206" s="30" t="s">
        <v>245</v>
      </c>
      <c r="BR206" s="30" t="s">
        <v>245</v>
      </c>
      <c r="BS206" s="30" t="s">
        <v>1867</v>
      </c>
      <c r="BT206" s="30" t="str">
        <f>HYPERLINK("https%3A%2F%2Fwww.webofscience.com%2Fwos%2Fwoscc%2Ffull-record%2FWOS:000287619500004","View Full Record in Web of Science")</f>
        <v>View Full Record in Web of Science</v>
      </c>
    </row>
    <row r="207" spans="1:72" x14ac:dyDescent="0.2">
      <c r="A207" s="30" t="s">
        <v>243</v>
      </c>
      <c r="B207" s="30" t="s">
        <v>1868</v>
      </c>
      <c r="C207" s="30" t="s">
        <v>245</v>
      </c>
      <c r="D207" s="30" t="s">
        <v>245</v>
      </c>
      <c r="E207" s="30" t="s">
        <v>245</v>
      </c>
      <c r="F207" s="30" t="s">
        <v>1869</v>
      </c>
      <c r="G207" s="30" t="s">
        <v>245</v>
      </c>
      <c r="H207" s="30" t="s">
        <v>245</v>
      </c>
      <c r="I207" s="30" t="s">
        <v>1870</v>
      </c>
      <c r="J207" s="30" t="s">
        <v>541</v>
      </c>
      <c r="K207" s="30" t="s">
        <v>245</v>
      </c>
      <c r="L207" s="30" t="s">
        <v>245</v>
      </c>
      <c r="M207" s="30" t="s">
        <v>245</v>
      </c>
      <c r="N207" s="30" t="s">
        <v>245</v>
      </c>
      <c r="O207" s="30" t="s">
        <v>245</v>
      </c>
      <c r="P207" s="30" t="s">
        <v>245</v>
      </c>
      <c r="Q207" s="30" t="s">
        <v>245</v>
      </c>
      <c r="R207" s="30" t="s">
        <v>245</v>
      </c>
      <c r="S207" s="30" t="s">
        <v>245</v>
      </c>
      <c r="T207" s="30" t="s">
        <v>245</v>
      </c>
      <c r="U207" s="30" t="s">
        <v>245</v>
      </c>
      <c r="V207" s="30" t="s">
        <v>245</v>
      </c>
      <c r="W207" s="30" t="s">
        <v>245</v>
      </c>
      <c r="X207" s="30" t="s">
        <v>245</v>
      </c>
      <c r="Y207" s="30" t="s">
        <v>245</v>
      </c>
      <c r="Z207" s="30" t="s">
        <v>245</v>
      </c>
      <c r="AA207" s="30" t="s">
        <v>1871</v>
      </c>
      <c r="AB207" s="30" t="s">
        <v>1872</v>
      </c>
      <c r="AC207" s="30" t="s">
        <v>245</v>
      </c>
      <c r="AD207" s="30" t="s">
        <v>245</v>
      </c>
      <c r="AE207" s="30" t="s">
        <v>245</v>
      </c>
      <c r="AF207" s="30" t="s">
        <v>245</v>
      </c>
      <c r="AG207" s="30" t="s">
        <v>245</v>
      </c>
      <c r="AH207" s="30" t="s">
        <v>245</v>
      </c>
      <c r="AI207" s="30" t="s">
        <v>245</v>
      </c>
      <c r="AJ207" s="30" t="s">
        <v>245</v>
      </c>
      <c r="AK207" s="30" t="s">
        <v>245</v>
      </c>
      <c r="AL207" s="30" t="s">
        <v>245</v>
      </c>
      <c r="AM207" s="30" t="s">
        <v>245</v>
      </c>
      <c r="AN207" s="30" t="s">
        <v>245</v>
      </c>
      <c r="AO207" s="30" t="s">
        <v>544</v>
      </c>
      <c r="AP207" s="30" t="s">
        <v>545</v>
      </c>
      <c r="AQ207" s="30" t="s">
        <v>245</v>
      </c>
      <c r="AR207" s="30" t="s">
        <v>245</v>
      </c>
      <c r="AS207" s="30" t="s">
        <v>245</v>
      </c>
      <c r="AT207" s="30" t="s">
        <v>1873</v>
      </c>
      <c r="AU207" s="30">
        <v>2012</v>
      </c>
      <c r="AV207" s="30">
        <v>150</v>
      </c>
      <c r="AW207" s="30" t="s">
        <v>245</v>
      </c>
      <c r="AX207" s="30" t="s">
        <v>245</v>
      </c>
      <c r="AY207" s="30" t="s">
        <v>245</v>
      </c>
      <c r="AZ207" s="30" t="s">
        <v>245</v>
      </c>
      <c r="BA207" s="30" t="s">
        <v>245</v>
      </c>
      <c r="BB207" s="30">
        <v>91</v>
      </c>
      <c r="BC207" s="30">
        <v>101</v>
      </c>
      <c r="BD207" s="30" t="s">
        <v>245</v>
      </c>
      <c r="BE207" s="30" t="s">
        <v>1874</v>
      </c>
      <c r="BF207" s="30" t="str">
        <f>HYPERLINK("http://dx.doi.org/10.1016/j.agee.2012.01.001","http://dx.doi.org/10.1016/j.agee.2012.01.001")</f>
        <v>http://dx.doi.org/10.1016/j.agee.2012.01.001</v>
      </c>
      <c r="BG207" s="30" t="s">
        <v>245</v>
      </c>
      <c r="BH207" s="30" t="s">
        <v>245</v>
      </c>
      <c r="BI207" s="30" t="s">
        <v>245</v>
      </c>
      <c r="BJ207" s="30" t="s">
        <v>245</v>
      </c>
      <c r="BK207" s="30" t="s">
        <v>245</v>
      </c>
      <c r="BL207" s="30" t="s">
        <v>245</v>
      </c>
      <c r="BM207" s="30" t="s">
        <v>245</v>
      </c>
      <c r="BN207" s="30" t="s">
        <v>245</v>
      </c>
      <c r="BO207" s="30" t="s">
        <v>245</v>
      </c>
      <c r="BP207" s="30" t="s">
        <v>245</v>
      </c>
      <c r="BQ207" s="30" t="s">
        <v>245</v>
      </c>
      <c r="BR207" s="30" t="s">
        <v>245</v>
      </c>
      <c r="BS207" s="30" t="s">
        <v>1875</v>
      </c>
      <c r="BT207" s="30" t="str">
        <f>HYPERLINK("https%3A%2F%2Fwww.webofscience.com%2Fwos%2Fwoscc%2Ffull-record%2FWOS:000302106900010","View Full Record in Web of Science")</f>
        <v>View Full Record in Web of Science</v>
      </c>
    </row>
    <row r="208" spans="1:72" x14ac:dyDescent="0.2">
      <c r="A208" s="30" t="s">
        <v>243</v>
      </c>
      <c r="B208" s="30" t="s">
        <v>1876</v>
      </c>
      <c r="C208" s="30" t="s">
        <v>245</v>
      </c>
      <c r="D208" s="30" t="s">
        <v>245</v>
      </c>
      <c r="E208" s="30" t="s">
        <v>245</v>
      </c>
      <c r="F208" s="30" t="s">
        <v>1876</v>
      </c>
      <c r="G208" s="30" t="s">
        <v>245</v>
      </c>
      <c r="H208" s="30" t="s">
        <v>245</v>
      </c>
      <c r="I208" s="30" t="s">
        <v>89</v>
      </c>
      <c r="J208" s="30" t="s">
        <v>248</v>
      </c>
      <c r="K208" s="30" t="s">
        <v>245</v>
      </c>
      <c r="L208" s="30" t="s">
        <v>245</v>
      </c>
      <c r="M208" s="30" t="s">
        <v>245</v>
      </c>
      <c r="N208" s="30" t="s">
        <v>245</v>
      </c>
      <c r="O208" s="30" t="s">
        <v>1877</v>
      </c>
      <c r="P208" s="30" t="s">
        <v>1878</v>
      </c>
      <c r="Q208" s="30" t="s">
        <v>1879</v>
      </c>
      <c r="R208" s="30" t="s">
        <v>1880</v>
      </c>
      <c r="S208" s="30" t="s">
        <v>245</v>
      </c>
      <c r="T208" s="30" t="s">
        <v>245</v>
      </c>
      <c r="U208" s="30" t="s">
        <v>245</v>
      </c>
      <c r="V208" s="30" t="s">
        <v>245</v>
      </c>
      <c r="W208" s="30" t="s">
        <v>245</v>
      </c>
      <c r="X208" s="30" t="s">
        <v>245</v>
      </c>
      <c r="Y208" s="30" t="s">
        <v>245</v>
      </c>
      <c r="Z208" s="30" t="s">
        <v>245</v>
      </c>
      <c r="AA208" s="30" t="s">
        <v>245</v>
      </c>
      <c r="AB208" s="30" t="s">
        <v>245</v>
      </c>
      <c r="AC208" s="30" t="s">
        <v>245</v>
      </c>
      <c r="AD208" s="30" t="s">
        <v>245</v>
      </c>
      <c r="AE208" s="30" t="s">
        <v>245</v>
      </c>
      <c r="AF208" s="30" t="s">
        <v>245</v>
      </c>
      <c r="AG208" s="30" t="s">
        <v>245</v>
      </c>
      <c r="AH208" s="30" t="s">
        <v>245</v>
      </c>
      <c r="AI208" s="30" t="s">
        <v>245</v>
      </c>
      <c r="AJ208" s="30" t="s">
        <v>245</v>
      </c>
      <c r="AK208" s="30" t="s">
        <v>245</v>
      </c>
      <c r="AL208" s="30" t="s">
        <v>245</v>
      </c>
      <c r="AM208" s="30" t="s">
        <v>245</v>
      </c>
      <c r="AN208" s="30" t="s">
        <v>245</v>
      </c>
      <c r="AO208" s="30" t="s">
        <v>251</v>
      </c>
      <c r="AP208" s="30" t="s">
        <v>252</v>
      </c>
      <c r="AQ208" s="30" t="s">
        <v>245</v>
      </c>
      <c r="AR208" s="30" t="s">
        <v>245</v>
      </c>
      <c r="AS208" s="30" t="s">
        <v>245</v>
      </c>
      <c r="AT208" s="30" t="s">
        <v>245</v>
      </c>
      <c r="AU208" s="30">
        <v>1998</v>
      </c>
      <c r="AV208" s="30">
        <v>29</v>
      </c>
      <c r="AW208" s="30" t="s">
        <v>1881</v>
      </c>
      <c r="AX208" s="30" t="s">
        <v>245</v>
      </c>
      <c r="AY208" s="30" t="s">
        <v>245</v>
      </c>
      <c r="AZ208" s="30" t="s">
        <v>245</v>
      </c>
      <c r="BA208" s="30" t="s">
        <v>245</v>
      </c>
      <c r="BB208" s="30">
        <v>2207</v>
      </c>
      <c r="BC208" s="30">
        <v>2216</v>
      </c>
      <c r="BD208" s="30" t="s">
        <v>245</v>
      </c>
      <c r="BE208" s="30" t="s">
        <v>1882</v>
      </c>
      <c r="BF208" s="30" t="str">
        <f>HYPERLINK("http://dx.doi.org/10.1080/00103629809370103","http://dx.doi.org/10.1080/00103629809370103")</f>
        <v>http://dx.doi.org/10.1080/00103629809370103</v>
      </c>
      <c r="BG208" s="30" t="s">
        <v>245</v>
      </c>
      <c r="BH208" s="30" t="s">
        <v>245</v>
      </c>
      <c r="BI208" s="30" t="s">
        <v>245</v>
      </c>
      <c r="BJ208" s="30" t="s">
        <v>245</v>
      </c>
      <c r="BK208" s="30" t="s">
        <v>245</v>
      </c>
      <c r="BL208" s="30" t="s">
        <v>245</v>
      </c>
      <c r="BM208" s="30" t="s">
        <v>245</v>
      </c>
      <c r="BN208" s="30" t="s">
        <v>245</v>
      </c>
      <c r="BO208" s="30" t="s">
        <v>245</v>
      </c>
      <c r="BP208" s="30" t="s">
        <v>245</v>
      </c>
      <c r="BQ208" s="30" t="s">
        <v>245</v>
      </c>
      <c r="BR208" s="30" t="s">
        <v>245</v>
      </c>
      <c r="BS208" s="30" t="s">
        <v>1883</v>
      </c>
      <c r="BT208" s="30" t="str">
        <f>HYPERLINK("https%3A%2F%2Fwww.webofscience.com%2Fwos%2Fwoscc%2Ffull-record%2FWOS:000075685600067","View Full Record in Web of Science")</f>
        <v>View Full Record in Web of Science</v>
      </c>
    </row>
    <row r="209" spans="1:72" x14ac:dyDescent="0.2">
      <c r="A209" s="30" t="s">
        <v>243</v>
      </c>
      <c r="B209" s="30" t="s">
        <v>1884</v>
      </c>
      <c r="C209" s="30" t="s">
        <v>245</v>
      </c>
      <c r="D209" s="30" t="s">
        <v>245</v>
      </c>
      <c r="E209" s="30" t="s">
        <v>245</v>
      </c>
      <c r="F209" s="30" t="s">
        <v>1885</v>
      </c>
      <c r="G209" s="30" t="s">
        <v>245</v>
      </c>
      <c r="H209" s="30" t="s">
        <v>245</v>
      </c>
      <c r="I209" s="30" t="s">
        <v>1886</v>
      </c>
      <c r="J209" s="30" t="s">
        <v>271</v>
      </c>
      <c r="K209" s="30" t="s">
        <v>245</v>
      </c>
      <c r="L209" s="30" t="s">
        <v>245</v>
      </c>
      <c r="M209" s="30" t="s">
        <v>245</v>
      </c>
      <c r="N209" s="30" t="s">
        <v>245</v>
      </c>
      <c r="O209" s="30" t="s">
        <v>245</v>
      </c>
      <c r="P209" s="30" t="s">
        <v>245</v>
      </c>
      <c r="Q209" s="30" t="s">
        <v>245</v>
      </c>
      <c r="R209" s="30" t="s">
        <v>245</v>
      </c>
      <c r="S209" s="30" t="s">
        <v>245</v>
      </c>
      <c r="T209" s="30" t="s">
        <v>245</v>
      </c>
      <c r="U209" s="30" t="s">
        <v>245</v>
      </c>
      <c r="V209" s="30" t="s">
        <v>245</v>
      </c>
      <c r="W209" s="30" t="s">
        <v>245</v>
      </c>
      <c r="X209" s="30" t="s">
        <v>245</v>
      </c>
      <c r="Y209" s="30" t="s">
        <v>245</v>
      </c>
      <c r="Z209" s="30" t="s">
        <v>245</v>
      </c>
      <c r="AA209" s="30" t="s">
        <v>1887</v>
      </c>
      <c r="AB209" s="30" t="s">
        <v>1888</v>
      </c>
      <c r="AC209" s="30" t="s">
        <v>245</v>
      </c>
      <c r="AD209" s="30" t="s">
        <v>245</v>
      </c>
      <c r="AE209" s="30" t="s">
        <v>245</v>
      </c>
      <c r="AF209" s="30" t="s">
        <v>245</v>
      </c>
      <c r="AG209" s="30" t="s">
        <v>245</v>
      </c>
      <c r="AH209" s="30" t="s">
        <v>245</v>
      </c>
      <c r="AI209" s="30" t="s">
        <v>245</v>
      </c>
      <c r="AJ209" s="30" t="s">
        <v>245</v>
      </c>
      <c r="AK209" s="30" t="s">
        <v>245</v>
      </c>
      <c r="AL209" s="30" t="s">
        <v>245</v>
      </c>
      <c r="AM209" s="30" t="s">
        <v>245</v>
      </c>
      <c r="AN209" s="30" t="s">
        <v>245</v>
      </c>
      <c r="AO209" s="30" t="s">
        <v>274</v>
      </c>
      <c r="AP209" s="30" t="s">
        <v>275</v>
      </c>
      <c r="AQ209" s="30" t="s">
        <v>245</v>
      </c>
      <c r="AR209" s="30" t="s">
        <v>245</v>
      </c>
      <c r="AS209" s="30" t="s">
        <v>245</v>
      </c>
      <c r="AT209" s="30" t="s">
        <v>1889</v>
      </c>
      <c r="AU209" s="30">
        <v>2016</v>
      </c>
      <c r="AV209" s="30">
        <v>50</v>
      </c>
      <c r="AW209" s="30">
        <v>18</v>
      </c>
      <c r="AX209" s="30" t="s">
        <v>245</v>
      </c>
      <c r="AY209" s="30" t="s">
        <v>245</v>
      </c>
      <c r="AZ209" s="30" t="s">
        <v>245</v>
      </c>
      <c r="BA209" s="30" t="s">
        <v>245</v>
      </c>
      <c r="BB209" s="30">
        <v>9972</v>
      </c>
      <c r="BC209" s="30">
        <v>9980</v>
      </c>
      <c r="BD209" s="30" t="s">
        <v>245</v>
      </c>
      <c r="BE209" s="30" t="s">
        <v>1890</v>
      </c>
      <c r="BF209" s="30" t="str">
        <f>HYPERLINK("http://dx.doi.org/10.1021/acs.est.6b01765","http://dx.doi.org/10.1021/acs.est.6b01765")</f>
        <v>http://dx.doi.org/10.1021/acs.est.6b01765</v>
      </c>
      <c r="BG209" s="30" t="s">
        <v>245</v>
      </c>
      <c r="BH209" s="30" t="s">
        <v>245</v>
      </c>
      <c r="BI209" s="30" t="s">
        <v>245</v>
      </c>
      <c r="BJ209" s="30" t="s">
        <v>245</v>
      </c>
      <c r="BK209" s="30" t="s">
        <v>245</v>
      </c>
      <c r="BL209" s="30" t="s">
        <v>245</v>
      </c>
      <c r="BM209" s="30" t="s">
        <v>245</v>
      </c>
      <c r="BN209" s="30">
        <v>27499451</v>
      </c>
      <c r="BO209" s="30" t="s">
        <v>245</v>
      </c>
      <c r="BP209" s="30" t="s">
        <v>245</v>
      </c>
      <c r="BQ209" s="30" t="s">
        <v>245</v>
      </c>
      <c r="BR209" s="30" t="s">
        <v>245</v>
      </c>
      <c r="BS209" s="30" t="s">
        <v>1891</v>
      </c>
      <c r="BT209" s="30" t="str">
        <f>HYPERLINK("https%3A%2F%2Fwww.webofscience.com%2Fwos%2Fwoscc%2Ffull-record%2FWOS:000384037900021","View Full Record in Web of Science")</f>
        <v>View Full Record in Web of Science</v>
      </c>
    </row>
    <row r="210" spans="1:72" x14ac:dyDescent="0.2">
      <c r="A210" s="30" t="s">
        <v>243</v>
      </c>
      <c r="B210" s="30" t="s">
        <v>1892</v>
      </c>
      <c r="C210" s="30" t="s">
        <v>245</v>
      </c>
      <c r="D210" s="30" t="s">
        <v>245</v>
      </c>
      <c r="E210" s="30" t="s">
        <v>245</v>
      </c>
      <c r="F210" s="30" t="s">
        <v>1893</v>
      </c>
      <c r="G210" s="30" t="s">
        <v>245</v>
      </c>
      <c r="H210" s="30" t="s">
        <v>245</v>
      </c>
      <c r="I210" s="30" t="s">
        <v>1894</v>
      </c>
      <c r="J210" s="30" t="s">
        <v>1895</v>
      </c>
      <c r="K210" s="30" t="s">
        <v>245</v>
      </c>
      <c r="L210" s="30" t="s">
        <v>245</v>
      </c>
      <c r="M210" s="30" t="s">
        <v>245</v>
      </c>
      <c r="N210" s="30" t="s">
        <v>245</v>
      </c>
      <c r="O210" s="30" t="s">
        <v>245</v>
      </c>
      <c r="P210" s="30" t="s">
        <v>245</v>
      </c>
      <c r="Q210" s="30" t="s">
        <v>245</v>
      </c>
      <c r="R210" s="30" t="s">
        <v>245</v>
      </c>
      <c r="S210" s="30" t="s">
        <v>245</v>
      </c>
      <c r="T210" s="30" t="s">
        <v>245</v>
      </c>
      <c r="U210" s="30" t="s">
        <v>245</v>
      </c>
      <c r="V210" s="30" t="s">
        <v>245</v>
      </c>
      <c r="W210" s="30" t="s">
        <v>245</v>
      </c>
      <c r="X210" s="30" t="s">
        <v>245</v>
      </c>
      <c r="Y210" s="30" t="s">
        <v>245</v>
      </c>
      <c r="Z210" s="30" t="s">
        <v>245</v>
      </c>
      <c r="AA210" s="30" t="s">
        <v>1896</v>
      </c>
      <c r="AB210" s="30" t="s">
        <v>1897</v>
      </c>
      <c r="AC210" s="30" t="s">
        <v>245</v>
      </c>
      <c r="AD210" s="30" t="s">
        <v>245</v>
      </c>
      <c r="AE210" s="30" t="s">
        <v>245</v>
      </c>
      <c r="AF210" s="30" t="s">
        <v>245</v>
      </c>
      <c r="AG210" s="30" t="s">
        <v>245</v>
      </c>
      <c r="AH210" s="30" t="s">
        <v>245</v>
      </c>
      <c r="AI210" s="30" t="s">
        <v>245</v>
      </c>
      <c r="AJ210" s="30" t="s">
        <v>245</v>
      </c>
      <c r="AK210" s="30" t="s">
        <v>245</v>
      </c>
      <c r="AL210" s="30" t="s">
        <v>245</v>
      </c>
      <c r="AM210" s="30" t="s">
        <v>245</v>
      </c>
      <c r="AN210" s="30" t="s">
        <v>245</v>
      </c>
      <c r="AO210" s="30" t="s">
        <v>1898</v>
      </c>
      <c r="AP210" s="30" t="s">
        <v>245</v>
      </c>
      <c r="AQ210" s="30" t="s">
        <v>245</v>
      </c>
      <c r="AR210" s="30" t="s">
        <v>245</v>
      </c>
      <c r="AS210" s="30" t="s">
        <v>245</v>
      </c>
      <c r="AT210" s="30" t="s">
        <v>1899</v>
      </c>
      <c r="AU210" s="30">
        <v>2013</v>
      </c>
      <c r="AV210" s="30">
        <v>110</v>
      </c>
      <c r="AW210" s="30">
        <v>16</v>
      </c>
      <c r="AX210" s="30" t="s">
        <v>245</v>
      </c>
      <c r="AY210" s="30" t="s">
        <v>245</v>
      </c>
      <c r="AZ210" s="30" t="s">
        <v>245</v>
      </c>
      <c r="BA210" s="30" t="s">
        <v>245</v>
      </c>
      <c r="BB210" s="30">
        <v>6328</v>
      </c>
      <c r="BC210" s="30">
        <v>6333</v>
      </c>
      <c r="BD210" s="30" t="s">
        <v>245</v>
      </c>
      <c r="BE210" s="30" t="s">
        <v>1900</v>
      </c>
      <c r="BF210" s="30" t="str">
        <f>HYPERLINK("http://dx.doi.org/10.1073/pnas.1219993110","http://dx.doi.org/10.1073/pnas.1219993110")</f>
        <v>http://dx.doi.org/10.1073/pnas.1219993110</v>
      </c>
      <c r="BG210" s="30" t="s">
        <v>245</v>
      </c>
      <c r="BH210" s="30" t="s">
        <v>245</v>
      </c>
      <c r="BI210" s="30" t="s">
        <v>245</v>
      </c>
      <c r="BJ210" s="30" t="s">
        <v>245</v>
      </c>
      <c r="BK210" s="30" t="s">
        <v>245</v>
      </c>
      <c r="BL210" s="30" t="s">
        <v>245</v>
      </c>
      <c r="BM210" s="30" t="s">
        <v>245</v>
      </c>
      <c r="BN210" s="30">
        <v>23576736</v>
      </c>
      <c r="BO210" s="30" t="s">
        <v>245</v>
      </c>
      <c r="BP210" s="30" t="s">
        <v>245</v>
      </c>
      <c r="BQ210" s="30" t="s">
        <v>245</v>
      </c>
      <c r="BR210" s="30" t="s">
        <v>245</v>
      </c>
      <c r="BS210" s="30" t="s">
        <v>1901</v>
      </c>
      <c r="BT210" s="30" t="str">
        <f>HYPERLINK("https%3A%2F%2Fwww.webofscience.com%2Fwos%2Fwoscc%2Ffull-record%2FWOS:000318041500030","View Full Record in Web of Science")</f>
        <v>View Full Record in Web of Science</v>
      </c>
    </row>
    <row r="211" spans="1:72" x14ac:dyDescent="0.2">
      <c r="A211" s="30" t="s">
        <v>243</v>
      </c>
      <c r="B211" s="30" t="s">
        <v>1902</v>
      </c>
      <c r="C211" s="30" t="s">
        <v>245</v>
      </c>
      <c r="D211" s="30" t="s">
        <v>245</v>
      </c>
      <c r="E211" s="30" t="s">
        <v>245</v>
      </c>
      <c r="F211" s="30" t="s">
        <v>1903</v>
      </c>
      <c r="G211" s="30" t="s">
        <v>245</v>
      </c>
      <c r="H211" s="30" t="s">
        <v>245</v>
      </c>
      <c r="I211" s="30" t="s">
        <v>1904</v>
      </c>
      <c r="J211" s="30" t="s">
        <v>1905</v>
      </c>
      <c r="K211" s="30" t="s">
        <v>245</v>
      </c>
      <c r="L211" s="30" t="s">
        <v>245</v>
      </c>
      <c r="M211" s="30" t="s">
        <v>245</v>
      </c>
      <c r="N211" s="30" t="s">
        <v>245</v>
      </c>
      <c r="O211" s="30" t="s">
        <v>245</v>
      </c>
      <c r="P211" s="30" t="s">
        <v>245</v>
      </c>
      <c r="Q211" s="30" t="s">
        <v>245</v>
      </c>
      <c r="R211" s="30" t="s">
        <v>245</v>
      </c>
      <c r="S211" s="30" t="s">
        <v>245</v>
      </c>
      <c r="T211" s="30" t="s">
        <v>245</v>
      </c>
      <c r="U211" s="30" t="s">
        <v>245</v>
      </c>
      <c r="V211" s="30" t="s">
        <v>245</v>
      </c>
      <c r="W211" s="30" t="s">
        <v>245</v>
      </c>
      <c r="X211" s="30" t="s">
        <v>245</v>
      </c>
      <c r="Y211" s="30" t="s">
        <v>245</v>
      </c>
      <c r="Z211" s="30" t="s">
        <v>245</v>
      </c>
      <c r="AA211" s="30" t="s">
        <v>1906</v>
      </c>
      <c r="AB211" s="30" t="s">
        <v>1907</v>
      </c>
      <c r="AC211" s="30" t="s">
        <v>245</v>
      </c>
      <c r="AD211" s="30" t="s">
        <v>245</v>
      </c>
      <c r="AE211" s="30" t="s">
        <v>245</v>
      </c>
      <c r="AF211" s="30" t="s">
        <v>245</v>
      </c>
      <c r="AG211" s="30" t="s">
        <v>245</v>
      </c>
      <c r="AH211" s="30" t="s">
        <v>245</v>
      </c>
      <c r="AI211" s="30" t="s">
        <v>245</v>
      </c>
      <c r="AJ211" s="30" t="s">
        <v>245</v>
      </c>
      <c r="AK211" s="30" t="s">
        <v>245</v>
      </c>
      <c r="AL211" s="30" t="s">
        <v>245</v>
      </c>
      <c r="AM211" s="30" t="s">
        <v>245</v>
      </c>
      <c r="AN211" s="30" t="s">
        <v>245</v>
      </c>
      <c r="AO211" s="30" t="s">
        <v>1908</v>
      </c>
      <c r="AP211" s="30" t="s">
        <v>245</v>
      </c>
      <c r="AQ211" s="30" t="s">
        <v>245</v>
      </c>
      <c r="AR211" s="30" t="s">
        <v>245</v>
      </c>
      <c r="AS211" s="30" t="s">
        <v>245</v>
      </c>
      <c r="AT211" s="30" t="s">
        <v>1909</v>
      </c>
      <c r="AU211" s="30">
        <v>2017</v>
      </c>
      <c r="AV211" s="30">
        <v>12</v>
      </c>
      <c r="AW211" s="30">
        <v>1</v>
      </c>
      <c r="AX211" s="30" t="s">
        <v>245</v>
      </c>
      <c r="AY211" s="30" t="s">
        <v>245</v>
      </c>
      <c r="AZ211" s="30" t="s">
        <v>245</v>
      </c>
      <c r="BA211" s="30" t="s">
        <v>245</v>
      </c>
      <c r="BB211" s="30" t="s">
        <v>245</v>
      </c>
      <c r="BC211" s="30" t="s">
        <v>245</v>
      </c>
      <c r="BD211" s="30" t="s">
        <v>1910</v>
      </c>
      <c r="BE211" s="30" t="s">
        <v>1911</v>
      </c>
      <c r="BF211" s="30" t="str">
        <f>HYPERLINK("http://dx.doi.org/10.1371/journal.pone.0169254","http://dx.doi.org/10.1371/journal.pone.0169254")</f>
        <v>http://dx.doi.org/10.1371/journal.pone.0169254</v>
      </c>
      <c r="BG211" s="30" t="s">
        <v>245</v>
      </c>
      <c r="BH211" s="30" t="s">
        <v>245</v>
      </c>
      <c r="BI211" s="30" t="s">
        <v>245</v>
      </c>
      <c r="BJ211" s="30" t="s">
        <v>245</v>
      </c>
      <c r="BK211" s="30" t="s">
        <v>245</v>
      </c>
      <c r="BL211" s="30" t="s">
        <v>245</v>
      </c>
      <c r="BM211" s="30" t="s">
        <v>245</v>
      </c>
      <c r="BN211" s="30">
        <v>28081161</v>
      </c>
      <c r="BO211" s="30" t="s">
        <v>245</v>
      </c>
      <c r="BP211" s="30" t="s">
        <v>245</v>
      </c>
      <c r="BQ211" s="30" t="s">
        <v>245</v>
      </c>
      <c r="BR211" s="30" t="s">
        <v>245</v>
      </c>
      <c r="BS211" s="30" t="s">
        <v>1912</v>
      </c>
      <c r="BT211" s="30" t="str">
        <f>HYPERLINK("https%3A%2F%2Fwww.webofscience.com%2Fwos%2Fwoscc%2Ffull-record%2FWOS:000391949500035","View Full Record in Web of Science")</f>
        <v>View Full Record in Web of Science</v>
      </c>
    </row>
    <row r="212" spans="1:72" x14ac:dyDescent="0.2">
      <c r="A212" s="30" t="s">
        <v>243</v>
      </c>
      <c r="B212" s="30" t="s">
        <v>1913</v>
      </c>
      <c r="C212" s="30" t="s">
        <v>245</v>
      </c>
      <c r="D212" s="30" t="s">
        <v>245</v>
      </c>
      <c r="E212" s="30" t="s">
        <v>245</v>
      </c>
      <c r="F212" s="30" t="s">
        <v>1914</v>
      </c>
      <c r="G212" s="30" t="s">
        <v>245</v>
      </c>
      <c r="H212" s="30" t="s">
        <v>245</v>
      </c>
      <c r="I212" s="30" t="s">
        <v>1915</v>
      </c>
      <c r="J212" s="30" t="s">
        <v>413</v>
      </c>
      <c r="K212" s="30" t="s">
        <v>245</v>
      </c>
      <c r="L212" s="30" t="s">
        <v>245</v>
      </c>
      <c r="M212" s="30" t="s">
        <v>245</v>
      </c>
      <c r="N212" s="30" t="s">
        <v>245</v>
      </c>
      <c r="O212" s="30" t="s">
        <v>245</v>
      </c>
      <c r="P212" s="30" t="s">
        <v>245</v>
      </c>
      <c r="Q212" s="30" t="s">
        <v>245</v>
      </c>
      <c r="R212" s="30" t="s">
        <v>245</v>
      </c>
      <c r="S212" s="30" t="s">
        <v>245</v>
      </c>
      <c r="T212" s="30" t="s">
        <v>245</v>
      </c>
      <c r="U212" s="30" t="s">
        <v>245</v>
      </c>
      <c r="V212" s="30" t="s">
        <v>245</v>
      </c>
      <c r="W212" s="30" t="s">
        <v>245</v>
      </c>
      <c r="X212" s="30" t="s">
        <v>245</v>
      </c>
      <c r="Y212" s="30" t="s">
        <v>245</v>
      </c>
      <c r="Z212" s="30" t="s">
        <v>245</v>
      </c>
      <c r="AA212" s="30" t="s">
        <v>1916</v>
      </c>
      <c r="AB212" s="30" t="s">
        <v>1917</v>
      </c>
      <c r="AC212" s="30" t="s">
        <v>245</v>
      </c>
      <c r="AD212" s="30" t="s">
        <v>245</v>
      </c>
      <c r="AE212" s="30" t="s">
        <v>245</v>
      </c>
      <c r="AF212" s="30" t="s">
        <v>245</v>
      </c>
      <c r="AG212" s="30" t="s">
        <v>245</v>
      </c>
      <c r="AH212" s="30" t="s">
        <v>245</v>
      </c>
      <c r="AI212" s="30" t="s">
        <v>245</v>
      </c>
      <c r="AJ212" s="30" t="s">
        <v>245</v>
      </c>
      <c r="AK212" s="30" t="s">
        <v>245</v>
      </c>
      <c r="AL212" s="30" t="s">
        <v>245</v>
      </c>
      <c r="AM212" s="30" t="s">
        <v>245</v>
      </c>
      <c r="AN212" s="30" t="s">
        <v>245</v>
      </c>
      <c r="AO212" s="30" t="s">
        <v>416</v>
      </c>
      <c r="AP212" s="30" t="s">
        <v>417</v>
      </c>
      <c r="AQ212" s="30" t="s">
        <v>245</v>
      </c>
      <c r="AR212" s="30" t="s">
        <v>245</v>
      </c>
      <c r="AS212" s="30" t="s">
        <v>245</v>
      </c>
      <c r="AT212" s="30" t="s">
        <v>562</v>
      </c>
      <c r="AU212" s="30">
        <v>2019</v>
      </c>
      <c r="AV212" s="30">
        <v>647</v>
      </c>
      <c r="AW212" s="30" t="s">
        <v>245</v>
      </c>
      <c r="AX212" s="30" t="s">
        <v>245</v>
      </c>
      <c r="AY212" s="30" t="s">
        <v>245</v>
      </c>
      <c r="AZ212" s="30" t="s">
        <v>245</v>
      </c>
      <c r="BA212" s="30" t="s">
        <v>245</v>
      </c>
      <c r="BB212" s="30">
        <v>134</v>
      </c>
      <c r="BC212" s="30">
        <v>140</v>
      </c>
      <c r="BD212" s="30" t="s">
        <v>245</v>
      </c>
      <c r="BE212" s="30" t="s">
        <v>1918</v>
      </c>
      <c r="BF212" s="30" t="str">
        <f>HYPERLINK("http://dx.doi.org/10.1016/j.scitotenv.2018.07.428","http://dx.doi.org/10.1016/j.scitotenv.2018.07.428")</f>
        <v>http://dx.doi.org/10.1016/j.scitotenv.2018.07.428</v>
      </c>
      <c r="BG212" s="30" t="s">
        <v>245</v>
      </c>
      <c r="BH212" s="30" t="s">
        <v>245</v>
      </c>
      <c r="BI212" s="30" t="s">
        <v>245</v>
      </c>
      <c r="BJ212" s="30" t="s">
        <v>245</v>
      </c>
      <c r="BK212" s="30" t="s">
        <v>245</v>
      </c>
      <c r="BL212" s="30" t="s">
        <v>245</v>
      </c>
      <c r="BM212" s="30" t="s">
        <v>245</v>
      </c>
      <c r="BN212" s="30">
        <v>30077843</v>
      </c>
      <c r="BO212" s="30" t="s">
        <v>245</v>
      </c>
      <c r="BP212" s="30" t="s">
        <v>245</v>
      </c>
      <c r="BQ212" s="30" t="s">
        <v>245</v>
      </c>
      <c r="BR212" s="30" t="s">
        <v>245</v>
      </c>
      <c r="BS212" s="30" t="s">
        <v>1919</v>
      </c>
      <c r="BT212" s="30" t="str">
        <f>HYPERLINK("https%3A%2F%2Fwww.webofscience.com%2Fwos%2Fwoscc%2Ffull-record%2FWOS:000447090400015","View Full Record in Web of Science")</f>
        <v>View Full Record in Web of Science</v>
      </c>
    </row>
    <row r="213" spans="1:72" x14ac:dyDescent="0.2">
      <c r="A213" s="30" t="s">
        <v>243</v>
      </c>
      <c r="B213" s="30" t="s">
        <v>1920</v>
      </c>
      <c r="C213" s="30" t="s">
        <v>245</v>
      </c>
      <c r="D213" s="30" t="s">
        <v>245</v>
      </c>
      <c r="E213" s="30" t="s">
        <v>245</v>
      </c>
      <c r="F213" s="30" t="s">
        <v>1921</v>
      </c>
      <c r="G213" s="30" t="s">
        <v>245</v>
      </c>
      <c r="H213" s="30" t="s">
        <v>245</v>
      </c>
      <c r="I213" s="30" t="s">
        <v>1922</v>
      </c>
      <c r="J213" s="30" t="s">
        <v>413</v>
      </c>
      <c r="K213" s="30" t="s">
        <v>245</v>
      </c>
      <c r="L213" s="30" t="s">
        <v>245</v>
      </c>
      <c r="M213" s="30" t="s">
        <v>245</v>
      </c>
      <c r="N213" s="30" t="s">
        <v>245</v>
      </c>
      <c r="O213" s="30" t="s">
        <v>245</v>
      </c>
      <c r="P213" s="30" t="s">
        <v>245</v>
      </c>
      <c r="Q213" s="30" t="s">
        <v>245</v>
      </c>
      <c r="R213" s="30" t="s">
        <v>245</v>
      </c>
      <c r="S213" s="30" t="s">
        <v>245</v>
      </c>
      <c r="T213" s="30" t="s">
        <v>245</v>
      </c>
      <c r="U213" s="30" t="s">
        <v>245</v>
      </c>
      <c r="V213" s="30" t="s">
        <v>245</v>
      </c>
      <c r="W213" s="30" t="s">
        <v>245</v>
      </c>
      <c r="X213" s="30" t="s">
        <v>245</v>
      </c>
      <c r="Y213" s="30" t="s">
        <v>245</v>
      </c>
      <c r="Z213" s="30" t="s">
        <v>245</v>
      </c>
      <c r="AA213" s="30" t="s">
        <v>1923</v>
      </c>
      <c r="AB213" s="30" t="s">
        <v>1924</v>
      </c>
      <c r="AC213" s="30" t="s">
        <v>245</v>
      </c>
      <c r="AD213" s="30" t="s">
        <v>245</v>
      </c>
      <c r="AE213" s="30" t="s">
        <v>245</v>
      </c>
      <c r="AF213" s="30" t="s">
        <v>245</v>
      </c>
      <c r="AG213" s="30" t="s">
        <v>245</v>
      </c>
      <c r="AH213" s="30" t="s">
        <v>245</v>
      </c>
      <c r="AI213" s="30" t="s">
        <v>245</v>
      </c>
      <c r="AJ213" s="30" t="s">
        <v>245</v>
      </c>
      <c r="AK213" s="30" t="s">
        <v>245</v>
      </c>
      <c r="AL213" s="30" t="s">
        <v>245</v>
      </c>
      <c r="AM213" s="30" t="s">
        <v>245</v>
      </c>
      <c r="AN213" s="30" t="s">
        <v>245</v>
      </c>
      <c r="AO213" s="30" t="s">
        <v>416</v>
      </c>
      <c r="AP213" s="30" t="s">
        <v>417</v>
      </c>
      <c r="AQ213" s="30" t="s">
        <v>245</v>
      </c>
      <c r="AR213" s="30" t="s">
        <v>245</v>
      </c>
      <c r="AS213" s="30" t="s">
        <v>245</v>
      </c>
      <c r="AT213" s="30" t="s">
        <v>1631</v>
      </c>
      <c r="AU213" s="30">
        <v>2020</v>
      </c>
      <c r="AV213" s="30">
        <v>718</v>
      </c>
      <c r="AW213" s="30" t="s">
        <v>245</v>
      </c>
      <c r="AX213" s="30" t="s">
        <v>245</v>
      </c>
      <c r="AY213" s="30" t="s">
        <v>245</v>
      </c>
      <c r="AZ213" s="30" t="s">
        <v>245</v>
      </c>
      <c r="BA213" s="30" t="s">
        <v>245</v>
      </c>
      <c r="BB213" s="30" t="s">
        <v>245</v>
      </c>
      <c r="BC213" s="30" t="s">
        <v>245</v>
      </c>
      <c r="BD213" s="30">
        <v>134748</v>
      </c>
      <c r="BE213" s="30" t="s">
        <v>1925</v>
      </c>
      <c r="BF213" s="30" t="str">
        <f>HYPERLINK("http://dx.doi.org/10.1016/j.scitotenv.2019.134748","http://dx.doi.org/10.1016/j.scitotenv.2019.134748")</f>
        <v>http://dx.doi.org/10.1016/j.scitotenv.2019.134748</v>
      </c>
      <c r="BG213" s="30" t="s">
        <v>245</v>
      </c>
      <c r="BH213" s="30" t="s">
        <v>245</v>
      </c>
      <c r="BI213" s="30" t="s">
        <v>245</v>
      </c>
      <c r="BJ213" s="30" t="s">
        <v>245</v>
      </c>
      <c r="BK213" s="30" t="s">
        <v>245</v>
      </c>
      <c r="BL213" s="30" t="s">
        <v>245</v>
      </c>
      <c r="BM213" s="30" t="s">
        <v>245</v>
      </c>
      <c r="BN213" s="30">
        <v>31848057</v>
      </c>
      <c r="BO213" s="30" t="s">
        <v>245</v>
      </c>
      <c r="BP213" s="30" t="s">
        <v>245</v>
      </c>
      <c r="BQ213" s="30" t="s">
        <v>245</v>
      </c>
      <c r="BR213" s="30" t="s">
        <v>245</v>
      </c>
      <c r="BS213" s="30" t="s">
        <v>1926</v>
      </c>
      <c r="BT213" s="30" t="str">
        <f>HYPERLINK("https%3A%2F%2Fwww.webofscience.com%2Fwos%2Fwoscc%2Ffull-record%2FWOS:000526029000114","View Full Record in Web of Science")</f>
        <v>View Full Record in Web of Science</v>
      </c>
    </row>
    <row r="214" spans="1:72" x14ac:dyDescent="0.2">
      <c r="A214" s="30" t="s">
        <v>243</v>
      </c>
      <c r="B214" s="30" t="s">
        <v>1927</v>
      </c>
      <c r="C214" s="30" t="s">
        <v>245</v>
      </c>
      <c r="D214" s="30" t="s">
        <v>245</v>
      </c>
      <c r="E214" s="30" t="s">
        <v>245</v>
      </c>
      <c r="F214" s="30" t="s">
        <v>1928</v>
      </c>
      <c r="G214" s="30" t="s">
        <v>245</v>
      </c>
      <c r="H214" s="30" t="s">
        <v>245</v>
      </c>
      <c r="I214" s="30" t="s">
        <v>1929</v>
      </c>
      <c r="J214" s="30" t="s">
        <v>1930</v>
      </c>
      <c r="K214" s="30" t="s">
        <v>245</v>
      </c>
      <c r="L214" s="30" t="s">
        <v>245</v>
      </c>
      <c r="M214" s="30" t="s">
        <v>245</v>
      </c>
      <c r="N214" s="30" t="s">
        <v>245</v>
      </c>
      <c r="O214" s="30" t="s">
        <v>245</v>
      </c>
      <c r="P214" s="30" t="s">
        <v>245</v>
      </c>
      <c r="Q214" s="30" t="s">
        <v>245</v>
      </c>
      <c r="R214" s="30" t="s">
        <v>245</v>
      </c>
      <c r="S214" s="30" t="s">
        <v>245</v>
      </c>
      <c r="T214" s="30" t="s">
        <v>245</v>
      </c>
      <c r="U214" s="30" t="s">
        <v>245</v>
      </c>
      <c r="V214" s="30" t="s">
        <v>245</v>
      </c>
      <c r="W214" s="30" t="s">
        <v>245</v>
      </c>
      <c r="X214" s="30" t="s">
        <v>245</v>
      </c>
      <c r="Y214" s="30" t="s">
        <v>245</v>
      </c>
      <c r="Z214" s="30" t="s">
        <v>245</v>
      </c>
      <c r="AA214" s="30" t="s">
        <v>1931</v>
      </c>
      <c r="AB214" s="30" t="s">
        <v>1932</v>
      </c>
      <c r="AC214" s="30" t="s">
        <v>245</v>
      </c>
      <c r="AD214" s="30" t="s">
        <v>245</v>
      </c>
      <c r="AE214" s="30" t="s">
        <v>245</v>
      </c>
      <c r="AF214" s="30" t="s">
        <v>245</v>
      </c>
      <c r="AG214" s="30" t="s">
        <v>245</v>
      </c>
      <c r="AH214" s="30" t="s">
        <v>245</v>
      </c>
      <c r="AI214" s="30" t="s">
        <v>245</v>
      </c>
      <c r="AJ214" s="30" t="s">
        <v>245</v>
      </c>
      <c r="AK214" s="30" t="s">
        <v>245</v>
      </c>
      <c r="AL214" s="30" t="s">
        <v>245</v>
      </c>
      <c r="AM214" s="30" t="s">
        <v>245</v>
      </c>
      <c r="AN214" s="30" t="s">
        <v>245</v>
      </c>
      <c r="AO214" s="30" t="s">
        <v>1933</v>
      </c>
      <c r="AP214" s="30" t="s">
        <v>1934</v>
      </c>
      <c r="AQ214" s="30" t="s">
        <v>245</v>
      </c>
      <c r="AR214" s="30" t="s">
        <v>245</v>
      </c>
      <c r="AS214" s="30" t="s">
        <v>245</v>
      </c>
      <c r="AT214" s="30" t="s">
        <v>481</v>
      </c>
      <c r="AU214" s="30">
        <v>2019</v>
      </c>
      <c r="AV214" s="30">
        <v>11</v>
      </c>
      <c r="AW214" s="30">
        <v>12</v>
      </c>
      <c r="AX214" s="30" t="s">
        <v>245</v>
      </c>
      <c r="AY214" s="30" t="s">
        <v>245</v>
      </c>
      <c r="AZ214" s="30" t="s">
        <v>245</v>
      </c>
      <c r="BA214" s="30" t="s">
        <v>245</v>
      </c>
      <c r="BB214" s="30">
        <v>1396</v>
      </c>
      <c r="BC214" s="30">
        <v>1407</v>
      </c>
      <c r="BD214" s="30" t="s">
        <v>245</v>
      </c>
      <c r="BE214" s="30" t="s">
        <v>1935</v>
      </c>
      <c r="BF214" s="30" t="str">
        <f>HYPERLINK("http://dx.doi.org/10.1111/gcbb.12642","http://dx.doi.org/10.1111/gcbb.12642")</f>
        <v>http://dx.doi.org/10.1111/gcbb.12642</v>
      </c>
      <c r="BG214" s="30" t="s">
        <v>245</v>
      </c>
      <c r="BH214" s="30" t="s">
        <v>745</v>
      </c>
      <c r="BI214" s="30" t="s">
        <v>245</v>
      </c>
      <c r="BJ214" s="30" t="s">
        <v>245</v>
      </c>
      <c r="BK214" s="30" t="s">
        <v>245</v>
      </c>
      <c r="BL214" s="30" t="s">
        <v>245</v>
      </c>
      <c r="BM214" s="30" t="s">
        <v>245</v>
      </c>
      <c r="BN214" s="30" t="s">
        <v>245</v>
      </c>
      <c r="BO214" s="30" t="s">
        <v>245</v>
      </c>
      <c r="BP214" s="30" t="s">
        <v>245</v>
      </c>
      <c r="BQ214" s="30" t="s">
        <v>245</v>
      </c>
      <c r="BR214" s="30" t="s">
        <v>245</v>
      </c>
      <c r="BS214" s="30" t="s">
        <v>1936</v>
      </c>
      <c r="BT214" s="30" t="str">
        <f>HYPERLINK("https%3A%2F%2Fwww.webofscience.com%2Fwos%2Fwoscc%2Ffull-record%2FWOS:000486592100001","View Full Record in Web of Science")</f>
        <v>View Full Record in Web of Science</v>
      </c>
    </row>
    <row r="215" spans="1:72" x14ac:dyDescent="0.2">
      <c r="A215" s="30" t="s">
        <v>243</v>
      </c>
      <c r="B215" s="30" t="s">
        <v>1937</v>
      </c>
      <c r="C215" s="30" t="s">
        <v>245</v>
      </c>
      <c r="D215" s="30" t="s">
        <v>245</v>
      </c>
      <c r="E215" s="30" t="s">
        <v>245</v>
      </c>
      <c r="F215" s="30" t="s">
        <v>1938</v>
      </c>
      <c r="G215" s="30" t="s">
        <v>245</v>
      </c>
      <c r="H215" s="30" t="s">
        <v>245</v>
      </c>
      <c r="I215" s="30" t="s">
        <v>1939</v>
      </c>
      <c r="J215" s="30" t="s">
        <v>1535</v>
      </c>
      <c r="K215" s="30" t="s">
        <v>245</v>
      </c>
      <c r="L215" s="30" t="s">
        <v>245</v>
      </c>
      <c r="M215" s="30" t="s">
        <v>245</v>
      </c>
      <c r="N215" s="30" t="s">
        <v>245</v>
      </c>
      <c r="O215" s="30" t="s">
        <v>245</v>
      </c>
      <c r="P215" s="30" t="s">
        <v>245</v>
      </c>
      <c r="Q215" s="30" t="s">
        <v>245</v>
      </c>
      <c r="R215" s="30" t="s">
        <v>245</v>
      </c>
      <c r="S215" s="30" t="s">
        <v>245</v>
      </c>
      <c r="T215" s="30" t="s">
        <v>245</v>
      </c>
      <c r="U215" s="30" t="s">
        <v>245</v>
      </c>
      <c r="V215" s="30" t="s">
        <v>245</v>
      </c>
      <c r="W215" s="30" t="s">
        <v>245</v>
      </c>
      <c r="X215" s="30" t="s">
        <v>245</v>
      </c>
      <c r="Y215" s="30" t="s">
        <v>245</v>
      </c>
      <c r="Z215" s="30" t="s">
        <v>245</v>
      </c>
      <c r="AA215" s="30" t="s">
        <v>1940</v>
      </c>
      <c r="AB215" s="30" t="s">
        <v>1941</v>
      </c>
      <c r="AC215" s="30" t="s">
        <v>245</v>
      </c>
      <c r="AD215" s="30" t="s">
        <v>245</v>
      </c>
      <c r="AE215" s="30" t="s">
        <v>245</v>
      </c>
      <c r="AF215" s="30" t="s">
        <v>245</v>
      </c>
      <c r="AG215" s="30" t="s">
        <v>245</v>
      </c>
      <c r="AH215" s="30" t="s">
        <v>245</v>
      </c>
      <c r="AI215" s="30" t="s">
        <v>245</v>
      </c>
      <c r="AJ215" s="30" t="s">
        <v>245</v>
      </c>
      <c r="AK215" s="30" t="s">
        <v>245</v>
      </c>
      <c r="AL215" s="30" t="s">
        <v>245</v>
      </c>
      <c r="AM215" s="30" t="s">
        <v>245</v>
      </c>
      <c r="AN215" s="30" t="s">
        <v>245</v>
      </c>
      <c r="AO215" s="30" t="s">
        <v>1538</v>
      </c>
      <c r="AP215" s="30" t="s">
        <v>1539</v>
      </c>
      <c r="AQ215" s="30" t="s">
        <v>245</v>
      </c>
      <c r="AR215" s="30" t="s">
        <v>245</v>
      </c>
      <c r="AS215" s="30" t="s">
        <v>245</v>
      </c>
      <c r="AT215" s="30" t="s">
        <v>297</v>
      </c>
      <c r="AU215" s="30">
        <v>2016</v>
      </c>
      <c r="AV215" s="30">
        <v>80</v>
      </c>
      <c r="AW215" s="30" t="s">
        <v>245</v>
      </c>
      <c r="AX215" s="30" t="s">
        <v>245</v>
      </c>
      <c r="AY215" s="30" t="s">
        <v>245</v>
      </c>
      <c r="AZ215" s="30" t="s">
        <v>245</v>
      </c>
      <c r="BA215" s="30" t="s">
        <v>245</v>
      </c>
      <c r="BB215" s="30">
        <v>78</v>
      </c>
      <c r="BC215" s="30">
        <v>87</v>
      </c>
      <c r="BD215" s="30" t="s">
        <v>245</v>
      </c>
      <c r="BE215" s="30" t="s">
        <v>1942</v>
      </c>
      <c r="BF215" s="30" t="str">
        <f>HYPERLINK("http://dx.doi.org/10.1016/j.eja.2016.07.001","http://dx.doi.org/10.1016/j.eja.2016.07.001")</f>
        <v>http://dx.doi.org/10.1016/j.eja.2016.07.001</v>
      </c>
      <c r="BG215" s="30" t="s">
        <v>245</v>
      </c>
      <c r="BH215" s="30" t="s">
        <v>245</v>
      </c>
      <c r="BI215" s="30" t="s">
        <v>245</v>
      </c>
      <c r="BJ215" s="30" t="s">
        <v>245</v>
      </c>
      <c r="BK215" s="30" t="s">
        <v>245</v>
      </c>
      <c r="BL215" s="30" t="s">
        <v>245</v>
      </c>
      <c r="BM215" s="30" t="s">
        <v>245</v>
      </c>
      <c r="BN215" s="30" t="s">
        <v>245</v>
      </c>
      <c r="BO215" s="30" t="s">
        <v>245</v>
      </c>
      <c r="BP215" s="30" t="s">
        <v>245</v>
      </c>
      <c r="BQ215" s="30" t="s">
        <v>245</v>
      </c>
      <c r="BR215" s="30" t="s">
        <v>245</v>
      </c>
      <c r="BS215" s="30" t="s">
        <v>1943</v>
      </c>
      <c r="BT215" s="30" t="str">
        <f>HYPERLINK("https%3A%2F%2Fwww.webofscience.com%2Fwos%2Fwoscc%2Ffull-record%2FWOS:000383942400008","View Full Record in Web of Science")</f>
        <v>View Full Record in Web of Science</v>
      </c>
    </row>
    <row r="216" spans="1:72" x14ac:dyDescent="0.2">
      <c r="A216" s="30" t="s">
        <v>243</v>
      </c>
      <c r="B216" s="30" t="s">
        <v>1944</v>
      </c>
      <c r="C216" s="30" t="s">
        <v>245</v>
      </c>
      <c r="D216" s="30" t="s">
        <v>245</v>
      </c>
      <c r="E216" s="30" t="s">
        <v>245</v>
      </c>
      <c r="F216" s="30" t="s">
        <v>1945</v>
      </c>
      <c r="G216" s="30" t="s">
        <v>245</v>
      </c>
      <c r="H216" s="30" t="s">
        <v>245</v>
      </c>
      <c r="I216" s="30" t="s">
        <v>1946</v>
      </c>
      <c r="J216" s="30" t="s">
        <v>1947</v>
      </c>
      <c r="K216" s="30" t="s">
        <v>245</v>
      </c>
      <c r="L216" s="30" t="s">
        <v>245</v>
      </c>
      <c r="M216" s="30" t="s">
        <v>245</v>
      </c>
      <c r="N216" s="30" t="s">
        <v>245</v>
      </c>
      <c r="O216" s="30" t="s">
        <v>245</v>
      </c>
      <c r="P216" s="30" t="s">
        <v>245</v>
      </c>
      <c r="Q216" s="30" t="s">
        <v>245</v>
      </c>
      <c r="R216" s="30" t="s">
        <v>245</v>
      </c>
      <c r="S216" s="30" t="s">
        <v>245</v>
      </c>
      <c r="T216" s="30" t="s">
        <v>245</v>
      </c>
      <c r="U216" s="30" t="s">
        <v>245</v>
      </c>
      <c r="V216" s="30" t="s">
        <v>245</v>
      </c>
      <c r="W216" s="30" t="s">
        <v>245</v>
      </c>
      <c r="X216" s="30" t="s">
        <v>245</v>
      </c>
      <c r="Y216" s="30" t="s">
        <v>245</v>
      </c>
      <c r="Z216" s="30" t="s">
        <v>245</v>
      </c>
      <c r="AA216" s="30" t="s">
        <v>1948</v>
      </c>
      <c r="AB216" s="30" t="s">
        <v>1949</v>
      </c>
      <c r="AC216" s="30" t="s">
        <v>245</v>
      </c>
      <c r="AD216" s="30" t="s">
        <v>245</v>
      </c>
      <c r="AE216" s="30" t="s">
        <v>245</v>
      </c>
      <c r="AF216" s="30" t="s">
        <v>245</v>
      </c>
      <c r="AG216" s="30" t="s">
        <v>245</v>
      </c>
      <c r="AH216" s="30" t="s">
        <v>245</v>
      </c>
      <c r="AI216" s="30" t="s">
        <v>245</v>
      </c>
      <c r="AJ216" s="30" t="s">
        <v>245</v>
      </c>
      <c r="AK216" s="30" t="s">
        <v>245</v>
      </c>
      <c r="AL216" s="30" t="s">
        <v>245</v>
      </c>
      <c r="AM216" s="30" t="s">
        <v>245</v>
      </c>
      <c r="AN216" s="30" t="s">
        <v>245</v>
      </c>
      <c r="AO216" s="30" t="s">
        <v>1950</v>
      </c>
      <c r="AP216" s="30" t="s">
        <v>1951</v>
      </c>
      <c r="AQ216" s="30" t="s">
        <v>245</v>
      </c>
      <c r="AR216" s="30" t="s">
        <v>245</v>
      </c>
      <c r="AS216" s="30" t="s">
        <v>245</v>
      </c>
      <c r="AT216" s="30" t="s">
        <v>297</v>
      </c>
      <c r="AU216" s="30">
        <v>2022</v>
      </c>
      <c r="AV216" s="30">
        <v>38</v>
      </c>
      <c r="AW216" s="30">
        <v>4</v>
      </c>
      <c r="AX216" s="30" t="s">
        <v>245</v>
      </c>
      <c r="AY216" s="30" t="s">
        <v>245</v>
      </c>
      <c r="AZ216" s="30" t="s">
        <v>245</v>
      </c>
      <c r="BA216" s="30" t="s">
        <v>245</v>
      </c>
      <c r="BB216" s="30">
        <v>1597</v>
      </c>
      <c r="BC216" s="30">
        <v>1613</v>
      </c>
      <c r="BD216" s="30" t="s">
        <v>245</v>
      </c>
      <c r="BE216" s="30" t="s">
        <v>1952</v>
      </c>
      <c r="BF216" s="30" t="str">
        <f>HYPERLINK("http://dx.doi.org/10.1111/sum.12822","http://dx.doi.org/10.1111/sum.12822")</f>
        <v>http://dx.doi.org/10.1111/sum.12822</v>
      </c>
      <c r="BG216" s="30" t="s">
        <v>245</v>
      </c>
      <c r="BH216" s="30" t="s">
        <v>1953</v>
      </c>
      <c r="BI216" s="30" t="s">
        <v>245</v>
      </c>
      <c r="BJ216" s="30" t="s">
        <v>245</v>
      </c>
      <c r="BK216" s="30" t="s">
        <v>245</v>
      </c>
      <c r="BL216" s="30" t="s">
        <v>245</v>
      </c>
      <c r="BM216" s="30" t="s">
        <v>245</v>
      </c>
      <c r="BN216" s="30" t="s">
        <v>245</v>
      </c>
      <c r="BO216" s="30" t="s">
        <v>245</v>
      </c>
      <c r="BP216" s="30" t="s">
        <v>245</v>
      </c>
      <c r="BQ216" s="30" t="s">
        <v>245</v>
      </c>
      <c r="BR216" s="30" t="s">
        <v>245</v>
      </c>
      <c r="BS216" s="30" t="s">
        <v>1954</v>
      </c>
      <c r="BT216" s="30" t="str">
        <f>HYPERLINK("https%3A%2F%2Fwww.webofscience.com%2Fwos%2Fwoscc%2Ffull-record%2FWOS:000798914600001","View Full Record in Web of Science")</f>
        <v>View Full Record in Web of Science</v>
      </c>
    </row>
    <row r="217" spans="1:72" x14ac:dyDescent="0.2">
      <c r="A217" s="30" t="s">
        <v>243</v>
      </c>
      <c r="B217" s="30" t="s">
        <v>1955</v>
      </c>
      <c r="C217" s="30" t="s">
        <v>245</v>
      </c>
      <c r="D217" s="30" t="s">
        <v>245</v>
      </c>
      <c r="E217" s="30" t="s">
        <v>245</v>
      </c>
      <c r="F217" s="30" t="s">
        <v>1956</v>
      </c>
      <c r="G217" s="30" t="s">
        <v>245</v>
      </c>
      <c r="H217" s="30" t="s">
        <v>245</v>
      </c>
      <c r="I217" s="30" t="s">
        <v>1957</v>
      </c>
      <c r="J217" s="30" t="s">
        <v>1608</v>
      </c>
      <c r="K217" s="30" t="s">
        <v>245</v>
      </c>
      <c r="L217" s="30" t="s">
        <v>245</v>
      </c>
      <c r="M217" s="30" t="s">
        <v>245</v>
      </c>
      <c r="N217" s="30" t="s">
        <v>245</v>
      </c>
      <c r="O217" s="30" t="s">
        <v>1958</v>
      </c>
      <c r="P217" s="30" t="s">
        <v>1959</v>
      </c>
      <c r="Q217" s="30" t="s">
        <v>1960</v>
      </c>
      <c r="R217" s="30" t="s">
        <v>245</v>
      </c>
      <c r="S217" s="30" t="s">
        <v>245</v>
      </c>
      <c r="T217" s="30" t="s">
        <v>245</v>
      </c>
      <c r="U217" s="30" t="s">
        <v>245</v>
      </c>
      <c r="V217" s="30" t="s">
        <v>245</v>
      </c>
      <c r="W217" s="30" t="s">
        <v>245</v>
      </c>
      <c r="X217" s="30" t="s">
        <v>245</v>
      </c>
      <c r="Y217" s="30" t="s">
        <v>245</v>
      </c>
      <c r="Z217" s="30" t="s">
        <v>245</v>
      </c>
      <c r="AA217" s="30" t="s">
        <v>1961</v>
      </c>
      <c r="AB217" s="30" t="s">
        <v>1962</v>
      </c>
      <c r="AC217" s="30" t="s">
        <v>245</v>
      </c>
      <c r="AD217" s="30" t="s">
        <v>245</v>
      </c>
      <c r="AE217" s="30" t="s">
        <v>245</v>
      </c>
      <c r="AF217" s="30" t="s">
        <v>245</v>
      </c>
      <c r="AG217" s="30" t="s">
        <v>245</v>
      </c>
      <c r="AH217" s="30" t="s">
        <v>245</v>
      </c>
      <c r="AI217" s="30" t="s">
        <v>245</v>
      </c>
      <c r="AJ217" s="30" t="s">
        <v>245</v>
      </c>
      <c r="AK217" s="30" t="s">
        <v>245</v>
      </c>
      <c r="AL217" s="30" t="s">
        <v>245</v>
      </c>
      <c r="AM217" s="30" t="s">
        <v>245</v>
      </c>
      <c r="AN217" s="30" t="s">
        <v>245</v>
      </c>
      <c r="AO217" s="30" t="s">
        <v>1610</v>
      </c>
      <c r="AP217" s="30" t="s">
        <v>1611</v>
      </c>
      <c r="AQ217" s="30" t="s">
        <v>245</v>
      </c>
      <c r="AR217" s="30" t="s">
        <v>245</v>
      </c>
      <c r="AS217" s="30" t="s">
        <v>245</v>
      </c>
      <c r="AT217" s="30" t="s">
        <v>286</v>
      </c>
      <c r="AU217" s="30">
        <v>2016</v>
      </c>
      <c r="AV217" s="30">
        <v>23</v>
      </c>
      <c r="AW217" s="30">
        <v>2</v>
      </c>
      <c r="AX217" s="30" t="s">
        <v>245</v>
      </c>
      <c r="AY217" s="30" t="s">
        <v>245</v>
      </c>
      <c r="AZ217" s="30" t="s">
        <v>245</v>
      </c>
      <c r="BA217" s="30" t="s">
        <v>245</v>
      </c>
      <c r="BB217" s="30">
        <v>1873</v>
      </c>
      <c r="BC217" s="30">
        <v>1885</v>
      </c>
      <c r="BD217" s="30" t="s">
        <v>245</v>
      </c>
      <c r="BE217" s="30" t="s">
        <v>1963</v>
      </c>
      <c r="BF217" s="30" t="str">
        <f>HYPERLINK("http://dx.doi.org/10.1007/s11356-015-5440-4","http://dx.doi.org/10.1007/s11356-015-5440-4")</f>
        <v>http://dx.doi.org/10.1007/s11356-015-5440-4</v>
      </c>
      <c r="BG217" s="30" t="s">
        <v>245</v>
      </c>
      <c r="BH217" s="30" t="s">
        <v>245</v>
      </c>
      <c r="BI217" s="30" t="s">
        <v>245</v>
      </c>
      <c r="BJ217" s="30" t="s">
        <v>245</v>
      </c>
      <c r="BK217" s="30" t="s">
        <v>245</v>
      </c>
      <c r="BL217" s="30" t="s">
        <v>245</v>
      </c>
      <c r="BM217" s="30" t="s">
        <v>245</v>
      </c>
      <c r="BN217" s="30">
        <v>26408111</v>
      </c>
      <c r="BO217" s="30" t="s">
        <v>245</v>
      </c>
      <c r="BP217" s="30" t="s">
        <v>245</v>
      </c>
      <c r="BQ217" s="30" t="s">
        <v>245</v>
      </c>
      <c r="BR217" s="30" t="s">
        <v>245</v>
      </c>
      <c r="BS217" s="30" t="s">
        <v>1964</v>
      </c>
      <c r="BT217" s="30" t="str">
        <f>HYPERLINK("https%3A%2F%2Fwww.webofscience.com%2Fwos%2Fwoscc%2Ffull-record%2FWOS:000368200200088","View Full Record in Web of Science")</f>
        <v>View Full Record in Web of Science</v>
      </c>
    </row>
    <row r="218" spans="1:72" x14ac:dyDescent="0.2">
      <c r="A218" s="30" t="s">
        <v>243</v>
      </c>
      <c r="B218" s="30" t="s">
        <v>1965</v>
      </c>
      <c r="C218" s="30" t="s">
        <v>245</v>
      </c>
      <c r="D218" s="30" t="s">
        <v>245</v>
      </c>
      <c r="E218" s="30" t="s">
        <v>245</v>
      </c>
      <c r="F218" s="30" t="s">
        <v>1965</v>
      </c>
      <c r="G218" s="30" t="s">
        <v>245</v>
      </c>
      <c r="H218" s="30" t="s">
        <v>245</v>
      </c>
      <c r="I218" s="30" t="s">
        <v>1966</v>
      </c>
      <c r="J218" s="30" t="s">
        <v>875</v>
      </c>
      <c r="K218" s="30" t="s">
        <v>245</v>
      </c>
      <c r="L218" s="30" t="s">
        <v>245</v>
      </c>
      <c r="M218" s="30" t="s">
        <v>245</v>
      </c>
      <c r="N218" s="30" t="s">
        <v>245</v>
      </c>
      <c r="O218" s="30" t="s">
        <v>245</v>
      </c>
      <c r="P218" s="30" t="s">
        <v>245</v>
      </c>
      <c r="Q218" s="30" t="s">
        <v>245</v>
      </c>
      <c r="R218" s="30" t="s">
        <v>245</v>
      </c>
      <c r="S218" s="30" t="s">
        <v>245</v>
      </c>
      <c r="T218" s="30" t="s">
        <v>245</v>
      </c>
      <c r="U218" s="30" t="s">
        <v>245</v>
      </c>
      <c r="V218" s="30" t="s">
        <v>245</v>
      </c>
      <c r="W218" s="30" t="s">
        <v>245</v>
      </c>
      <c r="X218" s="30" t="s">
        <v>245</v>
      </c>
      <c r="Y218" s="30" t="s">
        <v>245</v>
      </c>
      <c r="Z218" s="30" t="s">
        <v>245</v>
      </c>
      <c r="AA218" s="30" t="s">
        <v>245</v>
      </c>
      <c r="AB218" s="30" t="s">
        <v>245</v>
      </c>
      <c r="AC218" s="30" t="s">
        <v>245</v>
      </c>
      <c r="AD218" s="30" t="s">
        <v>245</v>
      </c>
      <c r="AE218" s="30" t="s">
        <v>245</v>
      </c>
      <c r="AF218" s="30" t="s">
        <v>245</v>
      </c>
      <c r="AG218" s="30" t="s">
        <v>245</v>
      </c>
      <c r="AH218" s="30" t="s">
        <v>245</v>
      </c>
      <c r="AI218" s="30" t="s">
        <v>245</v>
      </c>
      <c r="AJ218" s="30" t="s">
        <v>245</v>
      </c>
      <c r="AK218" s="30" t="s">
        <v>245</v>
      </c>
      <c r="AL218" s="30" t="s">
        <v>245</v>
      </c>
      <c r="AM218" s="30" t="s">
        <v>245</v>
      </c>
      <c r="AN218" s="30" t="s">
        <v>245</v>
      </c>
      <c r="AO218" s="30" t="s">
        <v>878</v>
      </c>
      <c r="AP218" s="30" t="s">
        <v>245</v>
      </c>
      <c r="AQ218" s="30" t="s">
        <v>245</v>
      </c>
      <c r="AR218" s="30" t="s">
        <v>245</v>
      </c>
      <c r="AS218" s="30" t="s">
        <v>245</v>
      </c>
      <c r="AT218" s="30" t="s">
        <v>354</v>
      </c>
      <c r="AU218" s="30">
        <v>1998</v>
      </c>
      <c r="AV218" s="30">
        <v>25</v>
      </c>
      <c r="AW218" s="30">
        <v>4</v>
      </c>
      <c r="AX218" s="30" t="s">
        <v>245</v>
      </c>
      <c r="AY218" s="30" t="s">
        <v>245</v>
      </c>
      <c r="AZ218" s="30" t="s">
        <v>245</v>
      </c>
      <c r="BA218" s="30" t="s">
        <v>245</v>
      </c>
      <c r="BB218" s="30">
        <v>331</v>
      </c>
      <c r="BC218" s="30">
        <v>339</v>
      </c>
      <c r="BD218" s="30" t="s">
        <v>245</v>
      </c>
      <c r="BE218" s="30" t="s">
        <v>245</v>
      </c>
      <c r="BF218" s="30" t="s">
        <v>245</v>
      </c>
      <c r="BG218" s="30" t="s">
        <v>245</v>
      </c>
      <c r="BH218" s="30" t="s">
        <v>245</v>
      </c>
      <c r="BI218" s="30" t="s">
        <v>245</v>
      </c>
      <c r="BJ218" s="30" t="s">
        <v>245</v>
      </c>
      <c r="BK218" s="30" t="s">
        <v>245</v>
      </c>
      <c r="BL218" s="30" t="s">
        <v>245</v>
      </c>
      <c r="BM218" s="30" t="s">
        <v>245</v>
      </c>
      <c r="BN218" s="30" t="s">
        <v>245</v>
      </c>
      <c r="BO218" s="30" t="s">
        <v>245</v>
      </c>
      <c r="BP218" s="30" t="s">
        <v>245</v>
      </c>
      <c r="BQ218" s="30" t="s">
        <v>245</v>
      </c>
      <c r="BR218" s="30" t="s">
        <v>245</v>
      </c>
      <c r="BS218" s="30" t="s">
        <v>1967</v>
      </c>
      <c r="BT218" s="30" t="str">
        <f>HYPERLINK("https%3A%2F%2Fwww.webofscience.com%2Fwos%2Fwoscc%2Ffull-record%2FWOS:000073142200002","View Full Record in Web of Science")</f>
        <v>View Full Record in Web of Science</v>
      </c>
    </row>
    <row r="219" spans="1:72" x14ac:dyDescent="0.2">
      <c r="A219" s="30" t="s">
        <v>243</v>
      </c>
      <c r="B219" s="30" t="s">
        <v>1968</v>
      </c>
      <c r="C219" s="30" t="s">
        <v>245</v>
      </c>
      <c r="D219" s="30" t="s">
        <v>245</v>
      </c>
      <c r="E219" s="30" t="s">
        <v>245</v>
      </c>
      <c r="F219" s="30" t="s">
        <v>1969</v>
      </c>
      <c r="G219" s="30" t="s">
        <v>245</v>
      </c>
      <c r="H219" s="30" t="s">
        <v>245</v>
      </c>
      <c r="I219" s="30" t="s">
        <v>1970</v>
      </c>
      <c r="J219" s="30" t="s">
        <v>1015</v>
      </c>
      <c r="K219" s="30" t="s">
        <v>245</v>
      </c>
      <c r="L219" s="30" t="s">
        <v>245</v>
      </c>
      <c r="M219" s="30" t="s">
        <v>245</v>
      </c>
      <c r="N219" s="30" t="s">
        <v>245</v>
      </c>
      <c r="O219" s="30" t="s">
        <v>245</v>
      </c>
      <c r="P219" s="30" t="s">
        <v>245</v>
      </c>
      <c r="Q219" s="30" t="s">
        <v>245</v>
      </c>
      <c r="R219" s="30" t="s">
        <v>245</v>
      </c>
      <c r="S219" s="30" t="s">
        <v>245</v>
      </c>
      <c r="T219" s="30" t="s">
        <v>245</v>
      </c>
      <c r="U219" s="30" t="s">
        <v>245</v>
      </c>
      <c r="V219" s="30" t="s">
        <v>245</v>
      </c>
      <c r="W219" s="30" t="s">
        <v>245</v>
      </c>
      <c r="X219" s="30" t="s">
        <v>245</v>
      </c>
      <c r="Y219" s="30" t="s">
        <v>245</v>
      </c>
      <c r="Z219" s="30" t="s">
        <v>245</v>
      </c>
      <c r="AA219" s="30" t="s">
        <v>1971</v>
      </c>
      <c r="AB219" s="30" t="s">
        <v>1972</v>
      </c>
      <c r="AC219" s="30" t="s">
        <v>245</v>
      </c>
      <c r="AD219" s="30" t="s">
        <v>245</v>
      </c>
      <c r="AE219" s="30" t="s">
        <v>245</v>
      </c>
      <c r="AF219" s="30" t="s">
        <v>245</v>
      </c>
      <c r="AG219" s="30" t="s">
        <v>245</v>
      </c>
      <c r="AH219" s="30" t="s">
        <v>245</v>
      </c>
      <c r="AI219" s="30" t="s">
        <v>245</v>
      </c>
      <c r="AJ219" s="30" t="s">
        <v>245</v>
      </c>
      <c r="AK219" s="30" t="s">
        <v>245</v>
      </c>
      <c r="AL219" s="30" t="s">
        <v>245</v>
      </c>
      <c r="AM219" s="30" t="s">
        <v>245</v>
      </c>
      <c r="AN219" s="30" t="s">
        <v>245</v>
      </c>
      <c r="AO219" s="30" t="s">
        <v>1018</v>
      </c>
      <c r="AP219" s="30" t="s">
        <v>1019</v>
      </c>
      <c r="AQ219" s="30" t="s">
        <v>245</v>
      </c>
      <c r="AR219" s="30" t="s">
        <v>245</v>
      </c>
      <c r="AS219" s="30" t="s">
        <v>245</v>
      </c>
      <c r="AT219" s="30" t="s">
        <v>454</v>
      </c>
      <c r="AU219" s="30">
        <v>2018</v>
      </c>
      <c r="AV219" s="30">
        <v>140</v>
      </c>
      <c r="AW219" s="30">
        <v>2</v>
      </c>
      <c r="AX219" s="30" t="s">
        <v>245</v>
      </c>
      <c r="AY219" s="30" t="s">
        <v>245</v>
      </c>
      <c r="AZ219" s="30" t="s">
        <v>245</v>
      </c>
      <c r="BA219" s="30" t="s">
        <v>245</v>
      </c>
      <c r="BB219" s="30">
        <v>217</v>
      </c>
      <c r="BC219" s="30">
        <v>232</v>
      </c>
      <c r="BD219" s="30" t="s">
        <v>245</v>
      </c>
      <c r="BE219" s="30" t="s">
        <v>1973</v>
      </c>
      <c r="BF219" s="30" t="str">
        <f>HYPERLINK("http://dx.doi.org/10.1007/s10533-018-0486-2","http://dx.doi.org/10.1007/s10533-018-0486-2")</f>
        <v>http://dx.doi.org/10.1007/s10533-018-0486-2</v>
      </c>
      <c r="BG219" s="30" t="s">
        <v>245</v>
      </c>
      <c r="BH219" s="30" t="s">
        <v>245</v>
      </c>
      <c r="BI219" s="30" t="s">
        <v>245</v>
      </c>
      <c r="BJ219" s="30" t="s">
        <v>245</v>
      </c>
      <c r="BK219" s="30" t="s">
        <v>245</v>
      </c>
      <c r="BL219" s="30" t="s">
        <v>245</v>
      </c>
      <c r="BM219" s="30" t="s">
        <v>245</v>
      </c>
      <c r="BN219" s="30" t="s">
        <v>245</v>
      </c>
      <c r="BO219" s="30" t="s">
        <v>245</v>
      </c>
      <c r="BP219" s="30" t="s">
        <v>245</v>
      </c>
      <c r="BQ219" s="30" t="s">
        <v>245</v>
      </c>
      <c r="BR219" s="30" t="s">
        <v>245</v>
      </c>
      <c r="BS219" s="30" t="s">
        <v>1974</v>
      </c>
      <c r="BT219" s="30" t="str">
        <f>HYPERLINK("https%3A%2F%2Fwww.webofscience.com%2Fwos%2Fwoscc%2Ffull-record%2FWOS:000443287600006","View Full Record in Web of Science")</f>
        <v>View Full Record in Web of Science</v>
      </c>
    </row>
    <row r="220" spans="1:72" x14ac:dyDescent="0.2">
      <c r="A220" s="30" t="s">
        <v>243</v>
      </c>
      <c r="B220" s="30" t="s">
        <v>1975</v>
      </c>
      <c r="C220" s="30" t="s">
        <v>245</v>
      </c>
      <c r="D220" s="30" t="s">
        <v>245</v>
      </c>
      <c r="E220" s="30" t="s">
        <v>245</v>
      </c>
      <c r="F220" s="30" t="s">
        <v>1976</v>
      </c>
      <c r="G220" s="30" t="s">
        <v>245</v>
      </c>
      <c r="H220" s="30" t="s">
        <v>245</v>
      </c>
      <c r="I220" s="30" t="s">
        <v>92</v>
      </c>
      <c r="J220" s="30" t="s">
        <v>587</v>
      </c>
      <c r="K220" s="30" t="s">
        <v>245</v>
      </c>
      <c r="L220" s="30" t="s">
        <v>245</v>
      </c>
      <c r="M220" s="30" t="s">
        <v>245</v>
      </c>
      <c r="N220" s="30" t="s">
        <v>245</v>
      </c>
      <c r="O220" s="30" t="s">
        <v>245</v>
      </c>
      <c r="P220" s="30" t="s">
        <v>245</v>
      </c>
      <c r="Q220" s="30" t="s">
        <v>245</v>
      </c>
      <c r="R220" s="30" t="s">
        <v>245</v>
      </c>
      <c r="S220" s="30" t="s">
        <v>245</v>
      </c>
      <c r="T220" s="30" t="s">
        <v>245</v>
      </c>
      <c r="U220" s="30" t="s">
        <v>245</v>
      </c>
      <c r="V220" s="30" t="s">
        <v>245</v>
      </c>
      <c r="W220" s="30" t="s">
        <v>245</v>
      </c>
      <c r="X220" s="30" t="s">
        <v>245</v>
      </c>
      <c r="Y220" s="30" t="s">
        <v>245</v>
      </c>
      <c r="Z220" s="30" t="s">
        <v>245</v>
      </c>
      <c r="AA220" s="30" t="s">
        <v>1977</v>
      </c>
      <c r="AB220" s="30" t="s">
        <v>1978</v>
      </c>
      <c r="AC220" s="30" t="s">
        <v>245</v>
      </c>
      <c r="AD220" s="30" t="s">
        <v>245</v>
      </c>
      <c r="AE220" s="30" t="s">
        <v>245</v>
      </c>
      <c r="AF220" s="30" t="s">
        <v>245</v>
      </c>
      <c r="AG220" s="30" t="s">
        <v>245</v>
      </c>
      <c r="AH220" s="30" t="s">
        <v>245</v>
      </c>
      <c r="AI220" s="30" t="s">
        <v>245</v>
      </c>
      <c r="AJ220" s="30" t="s">
        <v>245</v>
      </c>
      <c r="AK220" s="30" t="s">
        <v>245</v>
      </c>
      <c r="AL220" s="30" t="s">
        <v>245</v>
      </c>
      <c r="AM220" s="30" t="s">
        <v>245</v>
      </c>
      <c r="AN220" s="30" t="s">
        <v>245</v>
      </c>
      <c r="AO220" s="30" t="s">
        <v>590</v>
      </c>
      <c r="AP220" s="30" t="s">
        <v>591</v>
      </c>
      <c r="AQ220" s="30" t="s">
        <v>245</v>
      </c>
      <c r="AR220" s="30" t="s">
        <v>245</v>
      </c>
      <c r="AS220" s="30" t="s">
        <v>245</v>
      </c>
      <c r="AT220" s="30" t="s">
        <v>297</v>
      </c>
      <c r="AU220" s="30">
        <v>2014</v>
      </c>
      <c r="AV220" s="30">
        <v>177</v>
      </c>
      <c r="AW220" s="30">
        <v>5</v>
      </c>
      <c r="AX220" s="30" t="s">
        <v>245</v>
      </c>
      <c r="AY220" s="30" t="s">
        <v>245</v>
      </c>
      <c r="AZ220" s="30" t="s">
        <v>245</v>
      </c>
      <c r="BA220" s="30" t="s">
        <v>245</v>
      </c>
      <c r="BB220" s="30">
        <v>722</v>
      </c>
      <c r="BC220" s="30">
        <v>732</v>
      </c>
      <c r="BD220" s="30" t="s">
        <v>245</v>
      </c>
      <c r="BE220" s="30" t="s">
        <v>1979</v>
      </c>
      <c r="BF220" s="30" t="str">
        <f>HYPERLINK("http://dx.doi.org/10.1002/jpln.201300292","http://dx.doi.org/10.1002/jpln.201300292")</f>
        <v>http://dx.doi.org/10.1002/jpln.201300292</v>
      </c>
      <c r="BG220" s="30" t="s">
        <v>245</v>
      </c>
      <c r="BH220" s="30" t="s">
        <v>245</v>
      </c>
      <c r="BI220" s="30" t="s">
        <v>245</v>
      </c>
      <c r="BJ220" s="30" t="s">
        <v>245</v>
      </c>
      <c r="BK220" s="30" t="s">
        <v>245</v>
      </c>
      <c r="BL220" s="30" t="s">
        <v>245</v>
      </c>
      <c r="BM220" s="30" t="s">
        <v>245</v>
      </c>
      <c r="BN220" s="30" t="s">
        <v>245</v>
      </c>
      <c r="BO220" s="30" t="s">
        <v>245</v>
      </c>
      <c r="BP220" s="30" t="s">
        <v>245</v>
      </c>
      <c r="BQ220" s="30" t="s">
        <v>245</v>
      </c>
      <c r="BR220" s="30" t="s">
        <v>245</v>
      </c>
      <c r="BS220" s="30" t="s">
        <v>1980</v>
      </c>
      <c r="BT220" s="30" t="str">
        <f>HYPERLINK("https%3A%2F%2Fwww.webofscience.com%2Fwos%2Fwoscc%2Ffull-record%2FWOS:000342852200007","View Full Record in Web of Science")</f>
        <v>View Full Record in Web of Science</v>
      </c>
    </row>
    <row r="221" spans="1:72" x14ac:dyDescent="0.2">
      <c r="A221" s="30" t="s">
        <v>243</v>
      </c>
      <c r="B221" s="30" t="s">
        <v>1981</v>
      </c>
      <c r="C221" s="30" t="s">
        <v>245</v>
      </c>
      <c r="D221" s="30" t="s">
        <v>245</v>
      </c>
      <c r="E221" s="30" t="s">
        <v>245</v>
      </c>
      <c r="F221" s="30" t="s">
        <v>1982</v>
      </c>
      <c r="G221" s="30" t="s">
        <v>245</v>
      </c>
      <c r="H221" s="30" t="s">
        <v>245</v>
      </c>
      <c r="I221" s="30" t="s">
        <v>1983</v>
      </c>
      <c r="J221" s="30" t="s">
        <v>1984</v>
      </c>
      <c r="K221" s="30" t="s">
        <v>245</v>
      </c>
      <c r="L221" s="30" t="s">
        <v>245</v>
      </c>
      <c r="M221" s="30" t="s">
        <v>245</v>
      </c>
      <c r="N221" s="30" t="s">
        <v>245</v>
      </c>
      <c r="O221" s="30" t="s">
        <v>245</v>
      </c>
      <c r="P221" s="30" t="s">
        <v>245</v>
      </c>
      <c r="Q221" s="30" t="s">
        <v>245</v>
      </c>
      <c r="R221" s="30" t="s">
        <v>245</v>
      </c>
      <c r="S221" s="30" t="s">
        <v>245</v>
      </c>
      <c r="T221" s="30" t="s">
        <v>245</v>
      </c>
      <c r="U221" s="30" t="s">
        <v>245</v>
      </c>
      <c r="V221" s="30" t="s">
        <v>245</v>
      </c>
      <c r="W221" s="30" t="s">
        <v>245</v>
      </c>
      <c r="X221" s="30" t="s">
        <v>245</v>
      </c>
      <c r="Y221" s="30" t="s">
        <v>245</v>
      </c>
      <c r="Z221" s="30" t="s">
        <v>245</v>
      </c>
      <c r="AA221" s="30" t="s">
        <v>245</v>
      </c>
      <c r="AB221" s="30" t="s">
        <v>1985</v>
      </c>
      <c r="AC221" s="30" t="s">
        <v>245</v>
      </c>
      <c r="AD221" s="30" t="s">
        <v>245</v>
      </c>
      <c r="AE221" s="30" t="s">
        <v>245</v>
      </c>
      <c r="AF221" s="30" t="s">
        <v>245</v>
      </c>
      <c r="AG221" s="30" t="s">
        <v>245</v>
      </c>
      <c r="AH221" s="30" t="s">
        <v>245</v>
      </c>
      <c r="AI221" s="30" t="s">
        <v>245</v>
      </c>
      <c r="AJ221" s="30" t="s">
        <v>245</v>
      </c>
      <c r="AK221" s="30" t="s">
        <v>245</v>
      </c>
      <c r="AL221" s="30" t="s">
        <v>245</v>
      </c>
      <c r="AM221" s="30" t="s">
        <v>245</v>
      </c>
      <c r="AN221" s="30" t="s">
        <v>245</v>
      </c>
      <c r="AO221" s="30" t="s">
        <v>1986</v>
      </c>
      <c r="AP221" s="30" t="s">
        <v>1987</v>
      </c>
      <c r="AQ221" s="30" t="s">
        <v>245</v>
      </c>
      <c r="AR221" s="30" t="s">
        <v>245</v>
      </c>
      <c r="AS221" s="30" t="s">
        <v>245</v>
      </c>
      <c r="AT221" s="30" t="s">
        <v>1988</v>
      </c>
      <c r="AU221" s="30">
        <v>2024</v>
      </c>
      <c r="AV221" s="30">
        <v>90</v>
      </c>
      <c r="AW221" s="30">
        <v>3</v>
      </c>
      <c r="AX221" s="30" t="s">
        <v>245</v>
      </c>
      <c r="AY221" s="30" t="s">
        <v>245</v>
      </c>
      <c r="AZ221" s="30" t="s">
        <v>245</v>
      </c>
      <c r="BA221" s="30" t="s">
        <v>245</v>
      </c>
      <c r="BB221" s="30">
        <v>680</v>
      </c>
      <c r="BC221" s="30">
        <v>695</v>
      </c>
      <c r="BD221" s="30" t="s">
        <v>245</v>
      </c>
      <c r="BE221" s="30" t="s">
        <v>1989</v>
      </c>
      <c r="BF221" s="30" t="str">
        <f>HYPERLINK("http://dx.doi.org/10.2166/wst.2024.247","http://dx.doi.org/10.2166/wst.2024.247")</f>
        <v>http://dx.doi.org/10.2166/wst.2024.247</v>
      </c>
      <c r="BG221" s="30" t="s">
        <v>245</v>
      </c>
      <c r="BH221" s="30" t="s">
        <v>718</v>
      </c>
      <c r="BI221" s="30" t="s">
        <v>245</v>
      </c>
      <c r="BJ221" s="30" t="s">
        <v>245</v>
      </c>
      <c r="BK221" s="30" t="s">
        <v>245</v>
      </c>
      <c r="BL221" s="30" t="s">
        <v>245</v>
      </c>
      <c r="BM221" s="30" t="s">
        <v>245</v>
      </c>
      <c r="BN221" s="30">
        <v>39141029</v>
      </c>
      <c r="BO221" s="30" t="s">
        <v>245</v>
      </c>
      <c r="BP221" s="30" t="s">
        <v>245</v>
      </c>
      <c r="BQ221" s="30" t="s">
        <v>245</v>
      </c>
      <c r="BR221" s="30" t="s">
        <v>245</v>
      </c>
      <c r="BS221" s="30" t="s">
        <v>1990</v>
      </c>
      <c r="BT221" s="30" t="str">
        <f>HYPERLINK("https%3A%2F%2Fwww.webofscience.com%2Fwos%2Fwoscc%2Ffull-record%2FWOS:001273117700001","View Full Record in Web of Science")</f>
        <v>View Full Record in Web of Science</v>
      </c>
    </row>
    <row r="222" spans="1:72" x14ac:dyDescent="0.2">
      <c r="A222" s="30" t="s">
        <v>243</v>
      </c>
      <c r="B222" s="30" t="s">
        <v>1991</v>
      </c>
      <c r="C222" s="30" t="s">
        <v>245</v>
      </c>
      <c r="D222" s="30" t="s">
        <v>245</v>
      </c>
      <c r="E222" s="30" t="s">
        <v>245</v>
      </c>
      <c r="F222" s="30" t="s">
        <v>1991</v>
      </c>
      <c r="G222" s="30" t="s">
        <v>245</v>
      </c>
      <c r="H222" s="30" t="s">
        <v>245</v>
      </c>
      <c r="I222" s="30" t="s">
        <v>1992</v>
      </c>
      <c r="J222" s="30" t="s">
        <v>282</v>
      </c>
      <c r="K222" s="30" t="s">
        <v>245</v>
      </c>
      <c r="L222" s="30" t="s">
        <v>245</v>
      </c>
      <c r="M222" s="30" t="s">
        <v>245</v>
      </c>
      <c r="N222" s="30" t="s">
        <v>245</v>
      </c>
      <c r="O222" s="30" t="s">
        <v>245</v>
      </c>
      <c r="P222" s="30" t="s">
        <v>245</v>
      </c>
      <c r="Q222" s="30" t="s">
        <v>245</v>
      </c>
      <c r="R222" s="30" t="s">
        <v>245</v>
      </c>
      <c r="S222" s="30" t="s">
        <v>245</v>
      </c>
      <c r="T222" s="30" t="s">
        <v>245</v>
      </c>
      <c r="U222" s="30" t="s">
        <v>245</v>
      </c>
      <c r="V222" s="30" t="s">
        <v>245</v>
      </c>
      <c r="W222" s="30" t="s">
        <v>245</v>
      </c>
      <c r="X222" s="30" t="s">
        <v>245</v>
      </c>
      <c r="Y222" s="30" t="s">
        <v>245</v>
      </c>
      <c r="Z222" s="30" t="s">
        <v>245</v>
      </c>
      <c r="AA222" s="30" t="s">
        <v>1993</v>
      </c>
      <c r="AB222" s="30" t="s">
        <v>1994</v>
      </c>
      <c r="AC222" s="30" t="s">
        <v>245</v>
      </c>
      <c r="AD222" s="30" t="s">
        <v>245</v>
      </c>
      <c r="AE222" s="30" t="s">
        <v>245</v>
      </c>
      <c r="AF222" s="30" t="s">
        <v>245</v>
      </c>
      <c r="AG222" s="30" t="s">
        <v>245</v>
      </c>
      <c r="AH222" s="30" t="s">
        <v>245</v>
      </c>
      <c r="AI222" s="30" t="s">
        <v>245</v>
      </c>
      <c r="AJ222" s="30" t="s">
        <v>245</v>
      </c>
      <c r="AK222" s="30" t="s">
        <v>245</v>
      </c>
      <c r="AL222" s="30" t="s">
        <v>245</v>
      </c>
      <c r="AM222" s="30" t="s">
        <v>245</v>
      </c>
      <c r="AN222" s="30" t="s">
        <v>245</v>
      </c>
      <c r="AO222" s="30" t="s">
        <v>285</v>
      </c>
      <c r="AP222" s="30" t="s">
        <v>370</v>
      </c>
      <c r="AQ222" s="30" t="s">
        <v>245</v>
      </c>
      <c r="AR222" s="30" t="s">
        <v>245</v>
      </c>
      <c r="AS222" s="30" t="s">
        <v>245</v>
      </c>
      <c r="AT222" s="30" t="s">
        <v>454</v>
      </c>
      <c r="AU222" s="30">
        <v>2001</v>
      </c>
      <c r="AV222" s="30">
        <v>33</v>
      </c>
      <c r="AW222" s="30">
        <v>11</v>
      </c>
      <c r="AX222" s="30" t="s">
        <v>245</v>
      </c>
      <c r="AY222" s="30" t="s">
        <v>245</v>
      </c>
      <c r="AZ222" s="30" t="s">
        <v>245</v>
      </c>
      <c r="BA222" s="30" t="s">
        <v>245</v>
      </c>
      <c r="BB222" s="30">
        <v>1493</v>
      </c>
      <c r="BC222" s="30">
        <v>1499</v>
      </c>
      <c r="BD222" s="30" t="s">
        <v>245</v>
      </c>
      <c r="BE222" s="30" t="s">
        <v>1995</v>
      </c>
      <c r="BF222" s="30" t="str">
        <f>HYPERLINK("http://dx.doi.org/10.1016/S0038-0717(01)00060-8","http://dx.doi.org/10.1016/S0038-0717(01)00060-8")</f>
        <v>http://dx.doi.org/10.1016/S0038-0717(01)00060-8</v>
      </c>
      <c r="BG222" s="30" t="s">
        <v>245</v>
      </c>
      <c r="BH222" s="30" t="s">
        <v>245</v>
      </c>
      <c r="BI222" s="30" t="s">
        <v>245</v>
      </c>
      <c r="BJ222" s="30" t="s">
        <v>245</v>
      </c>
      <c r="BK222" s="30" t="s">
        <v>245</v>
      </c>
      <c r="BL222" s="30" t="s">
        <v>245</v>
      </c>
      <c r="BM222" s="30" t="s">
        <v>245</v>
      </c>
      <c r="BN222" s="30" t="s">
        <v>245</v>
      </c>
      <c r="BO222" s="30" t="s">
        <v>245</v>
      </c>
      <c r="BP222" s="30" t="s">
        <v>245</v>
      </c>
      <c r="BQ222" s="30" t="s">
        <v>245</v>
      </c>
      <c r="BR222" s="30" t="s">
        <v>245</v>
      </c>
      <c r="BS222" s="30" t="s">
        <v>1996</v>
      </c>
      <c r="BT222" s="30" t="str">
        <f>HYPERLINK("https%3A%2F%2Fwww.webofscience.com%2Fwos%2Fwoscc%2Ffull-record%2FWOS:000170848300007","View Full Record in Web of Science")</f>
        <v>View Full Record in Web of Science</v>
      </c>
    </row>
    <row r="223" spans="1:72" x14ac:dyDescent="0.2">
      <c r="A223" s="30" t="s">
        <v>243</v>
      </c>
      <c r="B223" s="30" t="s">
        <v>1997</v>
      </c>
      <c r="C223" s="30" t="s">
        <v>245</v>
      </c>
      <c r="D223" s="30" t="s">
        <v>245</v>
      </c>
      <c r="E223" s="30" t="s">
        <v>245</v>
      </c>
      <c r="F223" s="30" t="s">
        <v>1998</v>
      </c>
      <c r="G223" s="30" t="s">
        <v>245</v>
      </c>
      <c r="H223" s="30" t="s">
        <v>245</v>
      </c>
      <c r="I223" s="30" t="s">
        <v>1999</v>
      </c>
      <c r="J223" s="30" t="s">
        <v>292</v>
      </c>
      <c r="K223" s="30" t="s">
        <v>245</v>
      </c>
      <c r="L223" s="30" t="s">
        <v>245</v>
      </c>
      <c r="M223" s="30" t="s">
        <v>245</v>
      </c>
      <c r="N223" s="30" t="s">
        <v>245</v>
      </c>
      <c r="O223" s="30" t="s">
        <v>245</v>
      </c>
      <c r="P223" s="30" t="s">
        <v>245</v>
      </c>
      <c r="Q223" s="30" t="s">
        <v>245</v>
      </c>
      <c r="R223" s="30" t="s">
        <v>245</v>
      </c>
      <c r="S223" s="30" t="s">
        <v>245</v>
      </c>
      <c r="T223" s="30" t="s">
        <v>245</v>
      </c>
      <c r="U223" s="30" t="s">
        <v>245</v>
      </c>
      <c r="V223" s="30" t="s">
        <v>245</v>
      </c>
      <c r="W223" s="30" t="s">
        <v>245</v>
      </c>
      <c r="X223" s="30" t="s">
        <v>245</v>
      </c>
      <c r="Y223" s="30" t="s">
        <v>245</v>
      </c>
      <c r="Z223" s="30" t="s">
        <v>245</v>
      </c>
      <c r="AA223" s="30" t="s">
        <v>2000</v>
      </c>
      <c r="AB223" s="30" t="s">
        <v>2001</v>
      </c>
      <c r="AC223" s="30" t="s">
        <v>245</v>
      </c>
      <c r="AD223" s="30" t="s">
        <v>245</v>
      </c>
      <c r="AE223" s="30" t="s">
        <v>245</v>
      </c>
      <c r="AF223" s="30" t="s">
        <v>245</v>
      </c>
      <c r="AG223" s="30" t="s">
        <v>245</v>
      </c>
      <c r="AH223" s="30" t="s">
        <v>245</v>
      </c>
      <c r="AI223" s="30" t="s">
        <v>245</v>
      </c>
      <c r="AJ223" s="30" t="s">
        <v>245</v>
      </c>
      <c r="AK223" s="30" t="s">
        <v>245</v>
      </c>
      <c r="AL223" s="30" t="s">
        <v>245</v>
      </c>
      <c r="AM223" s="30" t="s">
        <v>245</v>
      </c>
      <c r="AN223" s="30" t="s">
        <v>245</v>
      </c>
      <c r="AO223" s="30" t="s">
        <v>295</v>
      </c>
      <c r="AP223" s="30" t="s">
        <v>296</v>
      </c>
      <c r="AQ223" s="30" t="s">
        <v>245</v>
      </c>
      <c r="AR223" s="30" t="s">
        <v>245</v>
      </c>
      <c r="AS223" s="30" t="s">
        <v>245</v>
      </c>
      <c r="AT223" s="30" t="s">
        <v>265</v>
      </c>
      <c r="AU223" s="30">
        <v>2008</v>
      </c>
      <c r="AV223" s="30">
        <v>18</v>
      </c>
      <c r="AW223" s="30">
        <v>3</v>
      </c>
      <c r="AX223" s="30" t="s">
        <v>245</v>
      </c>
      <c r="AY223" s="30" t="s">
        <v>245</v>
      </c>
      <c r="AZ223" s="30" t="s">
        <v>245</v>
      </c>
      <c r="BA223" s="30" t="s">
        <v>245</v>
      </c>
      <c r="BB223" s="30">
        <v>378</v>
      </c>
      <c r="BC223" s="30">
        <v>385</v>
      </c>
      <c r="BD223" s="30" t="s">
        <v>245</v>
      </c>
      <c r="BE223" s="30" t="s">
        <v>2002</v>
      </c>
      <c r="BF223" s="30" t="str">
        <f>HYPERLINK("http://dx.doi.org/10.1016/S1002-0160(08)60028-4","http://dx.doi.org/10.1016/S1002-0160(08)60028-4")</f>
        <v>http://dx.doi.org/10.1016/S1002-0160(08)60028-4</v>
      </c>
      <c r="BG223" s="30" t="s">
        <v>245</v>
      </c>
      <c r="BH223" s="30" t="s">
        <v>245</v>
      </c>
      <c r="BI223" s="30" t="s">
        <v>245</v>
      </c>
      <c r="BJ223" s="30" t="s">
        <v>245</v>
      </c>
      <c r="BK223" s="30" t="s">
        <v>245</v>
      </c>
      <c r="BL223" s="30" t="s">
        <v>245</v>
      </c>
      <c r="BM223" s="30" t="s">
        <v>245</v>
      </c>
      <c r="BN223" s="30" t="s">
        <v>245</v>
      </c>
      <c r="BO223" s="30" t="s">
        <v>245</v>
      </c>
      <c r="BP223" s="30" t="s">
        <v>245</v>
      </c>
      <c r="BQ223" s="30" t="s">
        <v>245</v>
      </c>
      <c r="BR223" s="30" t="s">
        <v>245</v>
      </c>
      <c r="BS223" s="30" t="s">
        <v>2003</v>
      </c>
      <c r="BT223" s="30" t="str">
        <f>HYPERLINK("https%3A%2F%2Fwww.webofscience.com%2Fwos%2Fwoscc%2Ffull-record%2FWOS:000256128300012","View Full Record in Web of Science")</f>
        <v>View Full Record in Web of Science</v>
      </c>
    </row>
    <row r="224" spans="1:72" x14ac:dyDescent="0.2">
      <c r="A224" s="30" t="s">
        <v>243</v>
      </c>
      <c r="B224" s="30" t="s">
        <v>2004</v>
      </c>
      <c r="C224" s="30" t="s">
        <v>245</v>
      </c>
      <c r="D224" s="30" t="s">
        <v>245</v>
      </c>
      <c r="E224" s="30" t="s">
        <v>245</v>
      </c>
      <c r="F224" s="30" t="s">
        <v>2005</v>
      </c>
      <c r="G224" s="30" t="s">
        <v>245</v>
      </c>
      <c r="H224" s="30" t="s">
        <v>245</v>
      </c>
      <c r="I224" s="30" t="s">
        <v>2006</v>
      </c>
      <c r="J224" s="30" t="s">
        <v>541</v>
      </c>
      <c r="K224" s="30" t="s">
        <v>245</v>
      </c>
      <c r="L224" s="30" t="s">
        <v>245</v>
      </c>
      <c r="M224" s="30" t="s">
        <v>245</v>
      </c>
      <c r="N224" s="30" t="s">
        <v>245</v>
      </c>
      <c r="O224" s="30" t="s">
        <v>245</v>
      </c>
      <c r="P224" s="30" t="s">
        <v>245</v>
      </c>
      <c r="Q224" s="30" t="s">
        <v>245</v>
      </c>
      <c r="R224" s="30" t="s">
        <v>245</v>
      </c>
      <c r="S224" s="30" t="s">
        <v>245</v>
      </c>
      <c r="T224" s="30" t="s">
        <v>245</v>
      </c>
      <c r="U224" s="30" t="s">
        <v>245</v>
      </c>
      <c r="V224" s="30" t="s">
        <v>245</v>
      </c>
      <c r="W224" s="30" t="s">
        <v>245</v>
      </c>
      <c r="X224" s="30" t="s">
        <v>245</v>
      </c>
      <c r="Y224" s="30" t="s">
        <v>245</v>
      </c>
      <c r="Z224" s="30" t="s">
        <v>245</v>
      </c>
      <c r="AA224" s="30" t="s">
        <v>1896</v>
      </c>
      <c r="AB224" s="30" t="s">
        <v>1897</v>
      </c>
      <c r="AC224" s="30" t="s">
        <v>245</v>
      </c>
      <c r="AD224" s="30" t="s">
        <v>245</v>
      </c>
      <c r="AE224" s="30" t="s">
        <v>245</v>
      </c>
      <c r="AF224" s="30" t="s">
        <v>245</v>
      </c>
      <c r="AG224" s="30" t="s">
        <v>245</v>
      </c>
      <c r="AH224" s="30" t="s">
        <v>245</v>
      </c>
      <c r="AI224" s="30" t="s">
        <v>245</v>
      </c>
      <c r="AJ224" s="30" t="s">
        <v>245</v>
      </c>
      <c r="AK224" s="30" t="s">
        <v>245</v>
      </c>
      <c r="AL224" s="30" t="s">
        <v>245</v>
      </c>
      <c r="AM224" s="30" t="s">
        <v>245</v>
      </c>
      <c r="AN224" s="30" t="s">
        <v>245</v>
      </c>
      <c r="AO224" s="30" t="s">
        <v>544</v>
      </c>
      <c r="AP224" s="30" t="s">
        <v>545</v>
      </c>
      <c r="AQ224" s="30" t="s">
        <v>245</v>
      </c>
      <c r="AR224" s="30" t="s">
        <v>245</v>
      </c>
      <c r="AS224" s="30" t="s">
        <v>245</v>
      </c>
      <c r="AT224" s="30" t="s">
        <v>2007</v>
      </c>
      <c r="AU224" s="30">
        <v>2015</v>
      </c>
      <c r="AV224" s="30">
        <v>212</v>
      </c>
      <c r="AW224" s="30" t="s">
        <v>245</v>
      </c>
      <c r="AX224" s="30" t="s">
        <v>245</v>
      </c>
      <c r="AY224" s="30" t="s">
        <v>245</v>
      </c>
      <c r="AZ224" s="30" t="s">
        <v>245</v>
      </c>
      <c r="BA224" s="30" t="s">
        <v>245</v>
      </c>
      <c r="BB224" s="30">
        <v>148</v>
      </c>
      <c r="BC224" s="30">
        <v>157</v>
      </c>
      <c r="BD224" s="30" t="s">
        <v>245</v>
      </c>
      <c r="BE224" s="30" t="s">
        <v>2008</v>
      </c>
      <c r="BF224" s="30" t="str">
        <f>HYPERLINK("http://dx.doi.org/10.1016/j.agee.2015.06.025","http://dx.doi.org/10.1016/j.agee.2015.06.025")</f>
        <v>http://dx.doi.org/10.1016/j.agee.2015.06.025</v>
      </c>
      <c r="BG224" s="30" t="s">
        <v>245</v>
      </c>
      <c r="BH224" s="30" t="s">
        <v>245</v>
      </c>
      <c r="BI224" s="30" t="s">
        <v>245</v>
      </c>
      <c r="BJ224" s="30" t="s">
        <v>245</v>
      </c>
      <c r="BK224" s="30" t="s">
        <v>245</v>
      </c>
      <c r="BL224" s="30" t="s">
        <v>245</v>
      </c>
      <c r="BM224" s="30" t="s">
        <v>245</v>
      </c>
      <c r="BN224" s="30" t="s">
        <v>245</v>
      </c>
      <c r="BO224" s="30" t="s">
        <v>245</v>
      </c>
      <c r="BP224" s="30" t="s">
        <v>245</v>
      </c>
      <c r="BQ224" s="30" t="s">
        <v>245</v>
      </c>
      <c r="BR224" s="30" t="s">
        <v>245</v>
      </c>
      <c r="BS224" s="30" t="s">
        <v>2009</v>
      </c>
      <c r="BT224" s="30" t="str">
        <f>HYPERLINK("https%3A%2F%2Fwww.webofscience.com%2Fwos%2Fwoscc%2Ffull-record%2FWOS:000361261100015","View Full Record in Web of Science")</f>
        <v>View Full Record in Web of Science</v>
      </c>
    </row>
    <row r="225" spans="1:72" x14ac:dyDescent="0.2">
      <c r="A225" s="30" t="s">
        <v>243</v>
      </c>
      <c r="B225" s="30" t="s">
        <v>2010</v>
      </c>
      <c r="C225" s="30" t="s">
        <v>245</v>
      </c>
      <c r="D225" s="30" t="s">
        <v>245</v>
      </c>
      <c r="E225" s="30" t="s">
        <v>245</v>
      </c>
      <c r="F225" s="30" t="s">
        <v>2011</v>
      </c>
      <c r="G225" s="30" t="s">
        <v>245</v>
      </c>
      <c r="H225" s="30" t="s">
        <v>245</v>
      </c>
      <c r="I225" s="30" t="s">
        <v>2012</v>
      </c>
      <c r="J225" s="30" t="s">
        <v>1122</v>
      </c>
      <c r="K225" s="30" t="s">
        <v>245</v>
      </c>
      <c r="L225" s="30" t="s">
        <v>245</v>
      </c>
      <c r="M225" s="30" t="s">
        <v>245</v>
      </c>
      <c r="N225" s="30" t="s">
        <v>245</v>
      </c>
      <c r="O225" s="30" t="s">
        <v>245</v>
      </c>
      <c r="P225" s="30" t="s">
        <v>245</v>
      </c>
      <c r="Q225" s="30" t="s">
        <v>245</v>
      </c>
      <c r="R225" s="30" t="s">
        <v>245</v>
      </c>
      <c r="S225" s="30" t="s">
        <v>245</v>
      </c>
      <c r="T225" s="30" t="s">
        <v>245</v>
      </c>
      <c r="U225" s="30" t="s">
        <v>245</v>
      </c>
      <c r="V225" s="30" t="s">
        <v>245</v>
      </c>
      <c r="W225" s="30" t="s">
        <v>245</v>
      </c>
      <c r="X225" s="30" t="s">
        <v>245</v>
      </c>
      <c r="Y225" s="30" t="s">
        <v>245</v>
      </c>
      <c r="Z225" s="30" t="s">
        <v>245</v>
      </c>
      <c r="AA225" s="30" t="s">
        <v>2013</v>
      </c>
      <c r="AB225" s="30" t="s">
        <v>2014</v>
      </c>
      <c r="AC225" s="30" t="s">
        <v>245</v>
      </c>
      <c r="AD225" s="30" t="s">
        <v>245</v>
      </c>
      <c r="AE225" s="30" t="s">
        <v>245</v>
      </c>
      <c r="AF225" s="30" t="s">
        <v>245</v>
      </c>
      <c r="AG225" s="30" t="s">
        <v>245</v>
      </c>
      <c r="AH225" s="30" t="s">
        <v>245</v>
      </c>
      <c r="AI225" s="30" t="s">
        <v>245</v>
      </c>
      <c r="AJ225" s="30" t="s">
        <v>245</v>
      </c>
      <c r="AK225" s="30" t="s">
        <v>245</v>
      </c>
      <c r="AL225" s="30" t="s">
        <v>245</v>
      </c>
      <c r="AM225" s="30" t="s">
        <v>245</v>
      </c>
      <c r="AN225" s="30" t="s">
        <v>245</v>
      </c>
      <c r="AO225" s="30" t="s">
        <v>245</v>
      </c>
      <c r="AP225" s="30" t="s">
        <v>1125</v>
      </c>
      <c r="AQ225" s="30" t="s">
        <v>245</v>
      </c>
      <c r="AR225" s="30" t="s">
        <v>245</v>
      </c>
      <c r="AS225" s="30" t="s">
        <v>245</v>
      </c>
      <c r="AT225" s="30" t="s">
        <v>535</v>
      </c>
      <c r="AU225" s="30">
        <v>2021</v>
      </c>
      <c r="AV225" s="30">
        <v>11</v>
      </c>
      <c r="AW225" s="30">
        <v>8</v>
      </c>
      <c r="AX225" s="30" t="s">
        <v>245</v>
      </c>
      <c r="AY225" s="30" t="s">
        <v>245</v>
      </c>
      <c r="AZ225" s="30" t="s">
        <v>245</v>
      </c>
      <c r="BA225" s="30" t="s">
        <v>245</v>
      </c>
      <c r="BB225" s="30" t="s">
        <v>245</v>
      </c>
      <c r="BC225" s="30" t="s">
        <v>245</v>
      </c>
      <c r="BD225" s="30">
        <v>1674</v>
      </c>
      <c r="BE225" s="30" t="s">
        <v>2015</v>
      </c>
      <c r="BF225" s="30" t="str">
        <f>HYPERLINK("http://dx.doi.org/10.3390/agronomy11081674","http://dx.doi.org/10.3390/agronomy11081674")</f>
        <v>http://dx.doi.org/10.3390/agronomy11081674</v>
      </c>
      <c r="BG225" s="30" t="s">
        <v>245</v>
      </c>
      <c r="BH225" s="30" t="s">
        <v>245</v>
      </c>
      <c r="BI225" s="30" t="s">
        <v>245</v>
      </c>
      <c r="BJ225" s="30" t="s">
        <v>245</v>
      </c>
      <c r="BK225" s="30" t="s">
        <v>245</v>
      </c>
      <c r="BL225" s="30" t="s">
        <v>245</v>
      </c>
      <c r="BM225" s="30" t="s">
        <v>245</v>
      </c>
      <c r="BN225" s="30" t="s">
        <v>245</v>
      </c>
      <c r="BO225" s="30" t="s">
        <v>245</v>
      </c>
      <c r="BP225" s="30" t="s">
        <v>245</v>
      </c>
      <c r="BQ225" s="30" t="s">
        <v>245</v>
      </c>
      <c r="BR225" s="30" t="s">
        <v>245</v>
      </c>
      <c r="BS225" s="30" t="s">
        <v>2016</v>
      </c>
      <c r="BT225" s="30" t="str">
        <f>HYPERLINK("https%3A%2F%2Fwww.webofscience.com%2Fwos%2Fwoscc%2Ffull-record%2FWOS:000688668800001","View Full Record in Web of Science")</f>
        <v>View Full Record in Web of Science</v>
      </c>
    </row>
    <row r="226" spans="1:72" x14ac:dyDescent="0.2">
      <c r="A226" s="30" t="s">
        <v>243</v>
      </c>
      <c r="B226" s="30" t="s">
        <v>2017</v>
      </c>
      <c r="C226" s="30" t="s">
        <v>245</v>
      </c>
      <c r="D226" s="30" t="s">
        <v>245</v>
      </c>
      <c r="E226" s="30" t="s">
        <v>245</v>
      </c>
      <c r="F226" s="30" t="s">
        <v>2018</v>
      </c>
      <c r="G226" s="30" t="s">
        <v>245</v>
      </c>
      <c r="H226" s="30" t="s">
        <v>245</v>
      </c>
      <c r="I226" s="30" t="s">
        <v>2019</v>
      </c>
      <c r="J226" s="30" t="s">
        <v>469</v>
      </c>
      <c r="K226" s="30" t="s">
        <v>245</v>
      </c>
      <c r="L226" s="30" t="s">
        <v>245</v>
      </c>
      <c r="M226" s="30" t="s">
        <v>245</v>
      </c>
      <c r="N226" s="30" t="s">
        <v>245</v>
      </c>
      <c r="O226" s="30" t="s">
        <v>245</v>
      </c>
      <c r="P226" s="30" t="s">
        <v>245</v>
      </c>
      <c r="Q226" s="30" t="s">
        <v>245</v>
      </c>
      <c r="R226" s="30" t="s">
        <v>245</v>
      </c>
      <c r="S226" s="30" t="s">
        <v>245</v>
      </c>
      <c r="T226" s="30" t="s">
        <v>245</v>
      </c>
      <c r="U226" s="30" t="s">
        <v>245</v>
      </c>
      <c r="V226" s="30" t="s">
        <v>245</v>
      </c>
      <c r="W226" s="30" t="s">
        <v>245</v>
      </c>
      <c r="X226" s="30" t="s">
        <v>245</v>
      </c>
      <c r="Y226" s="30" t="s">
        <v>245</v>
      </c>
      <c r="Z226" s="30" t="s">
        <v>245</v>
      </c>
      <c r="AA226" s="30" t="s">
        <v>2020</v>
      </c>
      <c r="AB226" s="30" t="s">
        <v>2021</v>
      </c>
      <c r="AC226" s="30" t="s">
        <v>245</v>
      </c>
      <c r="AD226" s="30" t="s">
        <v>245</v>
      </c>
      <c r="AE226" s="30" t="s">
        <v>245</v>
      </c>
      <c r="AF226" s="30" t="s">
        <v>245</v>
      </c>
      <c r="AG226" s="30" t="s">
        <v>245</v>
      </c>
      <c r="AH226" s="30" t="s">
        <v>245</v>
      </c>
      <c r="AI226" s="30" t="s">
        <v>245</v>
      </c>
      <c r="AJ226" s="30" t="s">
        <v>245</v>
      </c>
      <c r="AK226" s="30" t="s">
        <v>245</v>
      </c>
      <c r="AL226" s="30" t="s">
        <v>245</v>
      </c>
      <c r="AM226" s="30" t="s">
        <v>245</v>
      </c>
      <c r="AN226" s="30" t="s">
        <v>245</v>
      </c>
      <c r="AO226" s="30" t="s">
        <v>472</v>
      </c>
      <c r="AP226" s="30" t="s">
        <v>473</v>
      </c>
      <c r="AQ226" s="30" t="s">
        <v>245</v>
      </c>
      <c r="AR226" s="30" t="s">
        <v>245</v>
      </c>
      <c r="AS226" s="30" t="s">
        <v>245</v>
      </c>
      <c r="AT226" s="30" t="s">
        <v>2022</v>
      </c>
      <c r="AU226" s="30">
        <v>2021</v>
      </c>
      <c r="AV226" s="30">
        <v>400</v>
      </c>
      <c r="AW226" s="30" t="s">
        <v>245</v>
      </c>
      <c r="AX226" s="30" t="s">
        <v>245</v>
      </c>
      <c r="AY226" s="30" t="s">
        <v>245</v>
      </c>
      <c r="AZ226" s="30" t="s">
        <v>245</v>
      </c>
      <c r="BA226" s="30" t="s">
        <v>245</v>
      </c>
      <c r="BB226" s="30" t="s">
        <v>245</v>
      </c>
      <c r="BC226" s="30" t="s">
        <v>245</v>
      </c>
      <c r="BD226" s="30">
        <v>115160</v>
      </c>
      <c r="BE226" s="30" t="s">
        <v>2023</v>
      </c>
      <c r="BF226" s="30" t="str">
        <f>HYPERLINK("http://dx.doi.org/10.1016/j.geoderma.2021.115160","http://dx.doi.org/10.1016/j.geoderma.2021.115160")</f>
        <v>http://dx.doi.org/10.1016/j.geoderma.2021.115160</v>
      </c>
      <c r="BG226" s="30" t="s">
        <v>245</v>
      </c>
      <c r="BH226" s="30" t="s">
        <v>397</v>
      </c>
      <c r="BI226" s="30" t="s">
        <v>245</v>
      </c>
      <c r="BJ226" s="30" t="s">
        <v>245</v>
      </c>
      <c r="BK226" s="30" t="s">
        <v>245</v>
      </c>
      <c r="BL226" s="30" t="s">
        <v>245</v>
      </c>
      <c r="BM226" s="30" t="s">
        <v>245</v>
      </c>
      <c r="BN226" s="30" t="s">
        <v>245</v>
      </c>
      <c r="BO226" s="30" t="s">
        <v>245</v>
      </c>
      <c r="BP226" s="30" t="s">
        <v>245</v>
      </c>
      <c r="BQ226" s="30" t="s">
        <v>245</v>
      </c>
      <c r="BR226" s="30" t="s">
        <v>245</v>
      </c>
      <c r="BS226" s="30" t="s">
        <v>2024</v>
      </c>
      <c r="BT226" s="30" t="str">
        <f>HYPERLINK("https%3A%2F%2Fwww.webofscience.com%2Fwos%2Fwoscc%2Ffull-record%2FWOS:000659471100011","View Full Record in Web of Science")</f>
        <v>View Full Record in Web of Science</v>
      </c>
    </row>
    <row r="227" spans="1:72" x14ac:dyDescent="0.2">
      <c r="A227" s="30" t="s">
        <v>243</v>
      </c>
      <c r="B227" s="30" t="s">
        <v>2025</v>
      </c>
      <c r="C227" s="30" t="s">
        <v>245</v>
      </c>
      <c r="D227" s="30" t="s">
        <v>245</v>
      </c>
      <c r="E227" s="30" t="s">
        <v>245</v>
      </c>
      <c r="F227" s="30" t="s">
        <v>2026</v>
      </c>
      <c r="G227" s="30" t="s">
        <v>245</v>
      </c>
      <c r="H227" s="30" t="s">
        <v>245</v>
      </c>
      <c r="I227" s="30" t="s">
        <v>2027</v>
      </c>
      <c r="J227" s="30" t="s">
        <v>413</v>
      </c>
      <c r="K227" s="30" t="s">
        <v>245</v>
      </c>
      <c r="L227" s="30" t="s">
        <v>245</v>
      </c>
      <c r="M227" s="30" t="s">
        <v>245</v>
      </c>
      <c r="N227" s="30" t="s">
        <v>245</v>
      </c>
      <c r="O227" s="30" t="s">
        <v>245</v>
      </c>
      <c r="P227" s="30" t="s">
        <v>245</v>
      </c>
      <c r="Q227" s="30" t="s">
        <v>245</v>
      </c>
      <c r="R227" s="30" t="s">
        <v>245</v>
      </c>
      <c r="S227" s="30" t="s">
        <v>245</v>
      </c>
      <c r="T227" s="30" t="s">
        <v>245</v>
      </c>
      <c r="U227" s="30" t="s">
        <v>245</v>
      </c>
      <c r="V227" s="30" t="s">
        <v>245</v>
      </c>
      <c r="W227" s="30" t="s">
        <v>245</v>
      </c>
      <c r="X227" s="30" t="s">
        <v>245</v>
      </c>
      <c r="Y227" s="30" t="s">
        <v>245</v>
      </c>
      <c r="Z227" s="30" t="s">
        <v>245</v>
      </c>
      <c r="AA227" s="30" t="s">
        <v>2028</v>
      </c>
      <c r="AB227" s="30" t="s">
        <v>245</v>
      </c>
      <c r="AC227" s="30" t="s">
        <v>245</v>
      </c>
      <c r="AD227" s="30" t="s">
        <v>245</v>
      </c>
      <c r="AE227" s="30" t="s">
        <v>245</v>
      </c>
      <c r="AF227" s="30" t="s">
        <v>245</v>
      </c>
      <c r="AG227" s="30" t="s">
        <v>245</v>
      </c>
      <c r="AH227" s="30" t="s">
        <v>245</v>
      </c>
      <c r="AI227" s="30" t="s">
        <v>245</v>
      </c>
      <c r="AJ227" s="30" t="s">
        <v>245</v>
      </c>
      <c r="AK227" s="30" t="s">
        <v>245</v>
      </c>
      <c r="AL227" s="30" t="s">
        <v>245</v>
      </c>
      <c r="AM227" s="30" t="s">
        <v>245</v>
      </c>
      <c r="AN227" s="30" t="s">
        <v>245</v>
      </c>
      <c r="AO227" s="30" t="s">
        <v>416</v>
      </c>
      <c r="AP227" s="30" t="s">
        <v>417</v>
      </c>
      <c r="AQ227" s="30" t="s">
        <v>245</v>
      </c>
      <c r="AR227" s="30" t="s">
        <v>245</v>
      </c>
      <c r="AS227" s="30" t="s">
        <v>245</v>
      </c>
      <c r="AT227" s="30" t="s">
        <v>2029</v>
      </c>
      <c r="AU227" s="30">
        <v>2023</v>
      </c>
      <c r="AV227" s="30">
        <v>857</v>
      </c>
      <c r="AW227" s="30" t="s">
        <v>245</v>
      </c>
      <c r="AX227" s="30">
        <v>2</v>
      </c>
      <c r="AY227" s="30" t="s">
        <v>245</v>
      </c>
      <c r="AZ227" s="30" t="s">
        <v>245</v>
      </c>
      <c r="BA227" s="30" t="s">
        <v>245</v>
      </c>
      <c r="BB227" s="30" t="s">
        <v>245</v>
      </c>
      <c r="BC227" s="30" t="s">
        <v>245</v>
      </c>
      <c r="BD227" s="30">
        <v>159439</v>
      </c>
      <c r="BE227" s="30" t="s">
        <v>2030</v>
      </c>
      <c r="BF227" s="30" t="str">
        <f>HYPERLINK("http://dx.doi.org/10.1016/j.scitotenv.2022.159439","http://dx.doi.org/10.1016/j.scitotenv.2022.159439")</f>
        <v>http://dx.doi.org/10.1016/j.scitotenv.2022.159439</v>
      </c>
      <c r="BG227" s="30" t="s">
        <v>245</v>
      </c>
      <c r="BH227" s="30" t="s">
        <v>2031</v>
      </c>
      <c r="BI227" s="30" t="s">
        <v>245</v>
      </c>
      <c r="BJ227" s="30" t="s">
        <v>245</v>
      </c>
      <c r="BK227" s="30" t="s">
        <v>245</v>
      </c>
      <c r="BL227" s="30" t="s">
        <v>245</v>
      </c>
      <c r="BM227" s="30" t="s">
        <v>245</v>
      </c>
      <c r="BN227" s="30">
        <v>36252671</v>
      </c>
      <c r="BO227" s="30" t="s">
        <v>245</v>
      </c>
      <c r="BP227" s="30" t="s">
        <v>245</v>
      </c>
      <c r="BQ227" s="30" t="s">
        <v>245</v>
      </c>
      <c r="BR227" s="30" t="s">
        <v>245</v>
      </c>
      <c r="BS227" s="30" t="s">
        <v>2032</v>
      </c>
      <c r="BT227" s="30" t="str">
        <f>HYPERLINK("https%3A%2F%2Fwww.webofscience.com%2Fwos%2Fwoscc%2Ffull-record%2FWOS:000897790500010","View Full Record in Web of Science")</f>
        <v>View Full Record in Web of Science</v>
      </c>
    </row>
    <row r="228" spans="1:72" x14ac:dyDescent="0.2">
      <c r="A228" s="30" t="s">
        <v>243</v>
      </c>
      <c r="B228" s="30" t="s">
        <v>2033</v>
      </c>
      <c r="C228" s="30" t="s">
        <v>245</v>
      </c>
      <c r="D228" s="30" t="s">
        <v>245</v>
      </c>
      <c r="E228" s="30" t="s">
        <v>245</v>
      </c>
      <c r="F228" s="30" t="s">
        <v>2034</v>
      </c>
      <c r="G228" s="30" t="s">
        <v>245</v>
      </c>
      <c r="H228" s="30" t="s">
        <v>245</v>
      </c>
      <c r="I228" s="30" t="s">
        <v>2035</v>
      </c>
      <c r="J228" s="30" t="s">
        <v>1516</v>
      </c>
      <c r="K228" s="30" t="s">
        <v>245</v>
      </c>
      <c r="L228" s="30" t="s">
        <v>245</v>
      </c>
      <c r="M228" s="30" t="s">
        <v>245</v>
      </c>
      <c r="N228" s="30" t="s">
        <v>245</v>
      </c>
      <c r="O228" s="30" t="s">
        <v>245</v>
      </c>
      <c r="P228" s="30" t="s">
        <v>245</v>
      </c>
      <c r="Q228" s="30" t="s">
        <v>245</v>
      </c>
      <c r="R228" s="30" t="s">
        <v>245</v>
      </c>
      <c r="S228" s="30" t="s">
        <v>245</v>
      </c>
      <c r="T228" s="30" t="s">
        <v>245</v>
      </c>
      <c r="U228" s="30" t="s">
        <v>245</v>
      </c>
      <c r="V228" s="30" t="s">
        <v>245</v>
      </c>
      <c r="W228" s="30" t="s">
        <v>245</v>
      </c>
      <c r="X228" s="30" t="s">
        <v>245</v>
      </c>
      <c r="Y228" s="30" t="s">
        <v>245</v>
      </c>
      <c r="Z228" s="30" t="s">
        <v>245</v>
      </c>
      <c r="AA228" s="30" t="s">
        <v>2036</v>
      </c>
      <c r="AB228" s="30" t="s">
        <v>2037</v>
      </c>
      <c r="AC228" s="30" t="s">
        <v>245</v>
      </c>
      <c r="AD228" s="30" t="s">
        <v>245</v>
      </c>
      <c r="AE228" s="30" t="s">
        <v>245</v>
      </c>
      <c r="AF228" s="30" t="s">
        <v>245</v>
      </c>
      <c r="AG228" s="30" t="s">
        <v>245</v>
      </c>
      <c r="AH228" s="30" t="s">
        <v>245</v>
      </c>
      <c r="AI228" s="30" t="s">
        <v>245</v>
      </c>
      <c r="AJ228" s="30" t="s">
        <v>245</v>
      </c>
      <c r="AK228" s="30" t="s">
        <v>245</v>
      </c>
      <c r="AL228" s="30" t="s">
        <v>245</v>
      </c>
      <c r="AM228" s="30" t="s">
        <v>245</v>
      </c>
      <c r="AN228" s="30" t="s">
        <v>245</v>
      </c>
      <c r="AO228" s="30" t="s">
        <v>1519</v>
      </c>
      <c r="AP228" s="30" t="s">
        <v>245</v>
      </c>
      <c r="AQ228" s="30" t="s">
        <v>245</v>
      </c>
      <c r="AR228" s="30" t="s">
        <v>245</v>
      </c>
      <c r="AS228" s="30" t="s">
        <v>245</v>
      </c>
      <c r="AT228" s="30" t="s">
        <v>245</v>
      </c>
      <c r="AU228" s="30">
        <v>2012</v>
      </c>
      <c r="AV228" s="30">
        <v>9</v>
      </c>
      <c r="AW228" s="30">
        <v>10</v>
      </c>
      <c r="AX228" s="30" t="s">
        <v>245</v>
      </c>
      <c r="AY228" s="30" t="s">
        <v>245</v>
      </c>
      <c r="AZ228" s="30" t="s">
        <v>245</v>
      </c>
      <c r="BA228" s="30" t="s">
        <v>245</v>
      </c>
      <c r="BB228" s="30">
        <v>3891</v>
      </c>
      <c r="BC228" s="30">
        <v>3899</v>
      </c>
      <c r="BD228" s="30" t="s">
        <v>245</v>
      </c>
      <c r="BE228" s="30" t="s">
        <v>2038</v>
      </c>
      <c r="BF228" s="30" t="str">
        <f>HYPERLINK("http://dx.doi.org/10.5194/bg-9-3891-2012","http://dx.doi.org/10.5194/bg-9-3891-2012")</f>
        <v>http://dx.doi.org/10.5194/bg-9-3891-2012</v>
      </c>
      <c r="BG228" s="30" t="s">
        <v>245</v>
      </c>
      <c r="BH228" s="30" t="s">
        <v>245</v>
      </c>
      <c r="BI228" s="30" t="s">
        <v>245</v>
      </c>
      <c r="BJ228" s="30" t="s">
        <v>245</v>
      </c>
      <c r="BK228" s="30" t="s">
        <v>245</v>
      </c>
      <c r="BL228" s="30" t="s">
        <v>245</v>
      </c>
      <c r="BM228" s="30" t="s">
        <v>245</v>
      </c>
      <c r="BN228" s="30" t="s">
        <v>245</v>
      </c>
      <c r="BO228" s="30" t="s">
        <v>245</v>
      </c>
      <c r="BP228" s="30" t="s">
        <v>245</v>
      </c>
      <c r="BQ228" s="30" t="s">
        <v>245</v>
      </c>
      <c r="BR228" s="30" t="s">
        <v>245</v>
      </c>
      <c r="BS228" s="30" t="s">
        <v>2039</v>
      </c>
      <c r="BT228" s="30" t="str">
        <f>HYPERLINK("https%3A%2F%2Fwww.webofscience.com%2Fwos%2Fwoscc%2Ffull-record%2FWOS:000310471800012","View Full Record in Web of Science")</f>
        <v>View Full Record in Web of Science</v>
      </c>
    </row>
    <row r="229" spans="1:72" x14ac:dyDescent="0.2">
      <c r="A229" s="30" t="s">
        <v>243</v>
      </c>
      <c r="B229" s="30" t="s">
        <v>2040</v>
      </c>
      <c r="C229" s="30" t="s">
        <v>245</v>
      </c>
      <c r="D229" s="30" t="s">
        <v>245</v>
      </c>
      <c r="E229" s="30" t="s">
        <v>245</v>
      </c>
      <c r="F229" s="30" t="s">
        <v>2041</v>
      </c>
      <c r="G229" s="30" t="s">
        <v>245</v>
      </c>
      <c r="H229" s="30" t="s">
        <v>245</v>
      </c>
      <c r="I229" s="30" t="s">
        <v>2042</v>
      </c>
      <c r="J229" s="30" t="s">
        <v>413</v>
      </c>
      <c r="K229" s="30" t="s">
        <v>245</v>
      </c>
      <c r="L229" s="30" t="s">
        <v>245</v>
      </c>
      <c r="M229" s="30" t="s">
        <v>245</v>
      </c>
      <c r="N229" s="30" t="s">
        <v>245</v>
      </c>
      <c r="O229" s="30" t="s">
        <v>245</v>
      </c>
      <c r="P229" s="30" t="s">
        <v>245</v>
      </c>
      <c r="Q229" s="30" t="s">
        <v>245</v>
      </c>
      <c r="R229" s="30" t="s">
        <v>245</v>
      </c>
      <c r="S229" s="30" t="s">
        <v>245</v>
      </c>
      <c r="T229" s="30" t="s">
        <v>245</v>
      </c>
      <c r="U229" s="30" t="s">
        <v>245</v>
      </c>
      <c r="V229" s="30" t="s">
        <v>245</v>
      </c>
      <c r="W229" s="30" t="s">
        <v>245</v>
      </c>
      <c r="X229" s="30" t="s">
        <v>245</v>
      </c>
      <c r="Y229" s="30" t="s">
        <v>245</v>
      </c>
      <c r="Z229" s="30" t="s">
        <v>245</v>
      </c>
      <c r="AA229" s="30" t="s">
        <v>2043</v>
      </c>
      <c r="AB229" s="30" t="s">
        <v>2044</v>
      </c>
      <c r="AC229" s="30" t="s">
        <v>245</v>
      </c>
      <c r="AD229" s="30" t="s">
        <v>245</v>
      </c>
      <c r="AE229" s="30" t="s">
        <v>245</v>
      </c>
      <c r="AF229" s="30" t="s">
        <v>245</v>
      </c>
      <c r="AG229" s="30" t="s">
        <v>245</v>
      </c>
      <c r="AH229" s="30" t="s">
        <v>245</v>
      </c>
      <c r="AI229" s="30" t="s">
        <v>245</v>
      </c>
      <c r="AJ229" s="30" t="s">
        <v>245</v>
      </c>
      <c r="AK229" s="30" t="s">
        <v>245</v>
      </c>
      <c r="AL229" s="30" t="s">
        <v>245</v>
      </c>
      <c r="AM229" s="30" t="s">
        <v>245</v>
      </c>
      <c r="AN229" s="30" t="s">
        <v>245</v>
      </c>
      <c r="AO229" s="30" t="s">
        <v>416</v>
      </c>
      <c r="AP229" s="30" t="s">
        <v>417</v>
      </c>
      <c r="AQ229" s="30" t="s">
        <v>245</v>
      </c>
      <c r="AR229" s="30" t="s">
        <v>245</v>
      </c>
      <c r="AS229" s="30" t="s">
        <v>245</v>
      </c>
      <c r="AT229" s="30" t="s">
        <v>2045</v>
      </c>
      <c r="AU229" s="30">
        <v>2023</v>
      </c>
      <c r="AV229" s="30">
        <v>898</v>
      </c>
      <c r="AW229" s="30" t="s">
        <v>245</v>
      </c>
      <c r="AX229" s="30" t="s">
        <v>245</v>
      </c>
      <c r="AY229" s="30" t="s">
        <v>245</v>
      </c>
      <c r="AZ229" s="30" t="s">
        <v>245</v>
      </c>
      <c r="BA229" s="30" t="s">
        <v>245</v>
      </c>
      <c r="BB229" s="30" t="s">
        <v>245</v>
      </c>
      <c r="BC229" s="30" t="s">
        <v>245</v>
      </c>
      <c r="BD229" s="30">
        <v>165479</v>
      </c>
      <c r="BE229" s="30" t="s">
        <v>2046</v>
      </c>
      <c r="BF229" s="30" t="str">
        <f>HYPERLINK("http://dx.doi.org/10.1016/j.scitotenv.2023.165479","http://dx.doi.org/10.1016/j.scitotenv.2023.165479")</f>
        <v>http://dx.doi.org/10.1016/j.scitotenv.2023.165479</v>
      </c>
      <c r="BG229" s="30" t="s">
        <v>245</v>
      </c>
      <c r="BH229" s="30" t="s">
        <v>2047</v>
      </c>
      <c r="BI229" s="30" t="s">
        <v>245</v>
      </c>
      <c r="BJ229" s="30" t="s">
        <v>245</v>
      </c>
      <c r="BK229" s="30" t="s">
        <v>245</v>
      </c>
      <c r="BL229" s="30" t="s">
        <v>245</v>
      </c>
      <c r="BM229" s="30" t="s">
        <v>245</v>
      </c>
      <c r="BN229" s="30">
        <v>37459989</v>
      </c>
      <c r="BO229" s="30" t="s">
        <v>245</v>
      </c>
      <c r="BP229" s="30" t="s">
        <v>245</v>
      </c>
      <c r="BQ229" s="30" t="s">
        <v>245</v>
      </c>
      <c r="BR229" s="30" t="s">
        <v>245</v>
      </c>
      <c r="BS229" s="30" t="s">
        <v>2048</v>
      </c>
      <c r="BT229" s="30" t="str">
        <f>HYPERLINK("https%3A%2F%2Fwww.webofscience.com%2Fwos%2Fwoscc%2Ffull-record%2FWOS:001052096700001","View Full Record in Web of Science")</f>
        <v>View Full Record in Web of Science</v>
      </c>
    </row>
    <row r="230" spans="1:72" x14ac:dyDescent="0.2">
      <c r="A230" s="30" t="s">
        <v>243</v>
      </c>
      <c r="B230" s="30" t="s">
        <v>2049</v>
      </c>
      <c r="C230" s="30" t="s">
        <v>245</v>
      </c>
      <c r="D230" s="30" t="s">
        <v>245</v>
      </c>
      <c r="E230" s="30" t="s">
        <v>245</v>
      </c>
      <c r="F230" s="30" t="s">
        <v>2050</v>
      </c>
      <c r="G230" s="30" t="s">
        <v>245</v>
      </c>
      <c r="H230" s="30" t="s">
        <v>245</v>
      </c>
      <c r="I230" s="30" t="s">
        <v>2051</v>
      </c>
      <c r="J230" s="30" t="s">
        <v>336</v>
      </c>
      <c r="K230" s="30" t="s">
        <v>245</v>
      </c>
      <c r="L230" s="30" t="s">
        <v>245</v>
      </c>
      <c r="M230" s="30" t="s">
        <v>245</v>
      </c>
      <c r="N230" s="30" t="s">
        <v>245</v>
      </c>
      <c r="O230" s="30" t="s">
        <v>245</v>
      </c>
      <c r="P230" s="30" t="s">
        <v>245</v>
      </c>
      <c r="Q230" s="30" t="s">
        <v>245</v>
      </c>
      <c r="R230" s="30" t="s">
        <v>245</v>
      </c>
      <c r="S230" s="30" t="s">
        <v>245</v>
      </c>
      <c r="T230" s="30" t="s">
        <v>245</v>
      </c>
      <c r="U230" s="30" t="s">
        <v>245</v>
      </c>
      <c r="V230" s="30" t="s">
        <v>245</v>
      </c>
      <c r="W230" s="30" t="s">
        <v>245</v>
      </c>
      <c r="X230" s="30" t="s">
        <v>245</v>
      </c>
      <c r="Y230" s="30" t="s">
        <v>245</v>
      </c>
      <c r="Z230" s="30" t="s">
        <v>245</v>
      </c>
      <c r="AA230" s="30" t="s">
        <v>2052</v>
      </c>
      <c r="AB230" s="30" t="s">
        <v>2053</v>
      </c>
      <c r="AC230" s="30" t="s">
        <v>245</v>
      </c>
      <c r="AD230" s="30" t="s">
        <v>245</v>
      </c>
      <c r="AE230" s="30" t="s">
        <v>245</v>
      </c>
      <c r="AF230" s="30" t="s">
        <v>245</v>
      </c>
      <c r="AG230" s="30" t="s">
        <v>245</v>
      </c>
      <c r="AH230" s="30" t="s">
        <v>245</v>
      </c>
      <c r="AI230" s="30" t="s">
        <v>245</v>
      </c>
      <c r="AJ230" s="30" t="s">
        <v>245</v>
      </c>
      <c r="AK230" s="30" t="s">
        <v>245</v>
      </c>
      <c r="AL230" s="30" t="s">
        <v>245</v>
      </c>
      <c r="AM230" s="30" t="s">
        <v>245</v>
      </c>
      <c r="AN230" s="30" t="s">
        <v>245</v>
      </c>
      <c r="AO230" s="30" t="s">
        <v>343</v>
      </c>
      <c r="AP230" s="30" t="s">
        <v>344</v>
      </c>
      <c r="AQ230" s="30" t="s">
        <v>245</v>
      </c>
      <c r="AR230" s="30" t="s">
        <v>245</v>
      </c>
      <c r="AS230" s="30" t="s">
        <v>245</v>
      </c>
      <c r="AT230" s="30" t="s">
        <v>286</v>
      </c>
      <c r="AU230" s="30">
        <v>2011</v>
      </c>
      <c r="AV230" s="30">
        <v>89</v>
      </c>
      <c r="AW230" s="30">
        <v>1</v>
      </c>
      <c r="AX230" s="30" t="s">
        <v>245</v>
      </c>
      <c r="AY230" s="30" t="s">
        <v>245</v>
      </c>
      <c r="AZ230" s="30" t="s">
        <v>245</v>
      </c>
      <c r="BA230" s="30" t="s">
        <v>245</v>
      </c>
      <c r="BB230" s="30">
        <v>125</v>
      </c>
      <c r="BC230" s="30">
        <v>134</v>
      </c>
      <c r="BD230" s="30" t="s">
        <v>245</v>
      </c>
      <c r="BE230" s="30" t="s">
        <v>2054</v>
      </c>
      <c r="BF230" s="30" t="str">
        <f>HYPERLINK("http://dx.doi.org/10.1007/s10705-010-9382-4","http://dx.doi.org/10.1007/s10705-010-9382-4")</f>
        <v>http://dx.doi.org/10.1007/s10705-010-9382-4</v>
      </c>
      <c r="BG230" s="30" t="s">
        <v>245</v>
      </c>
      <c r="BH230" s="30" t="s">
        <v>245</v>
      </c>
      <c r="BI230" s="30" t="s">
        <v>245</v>
      </c>
      <c r="BJ230" s="30" t="s">
        <v>245</v>
      </c>
      <c r="BK230" s="30" t="s">
        <v>245</v>
      </c>
      <c r="BL230" s="30" t="s">
        <v>245</v>
      </c>
      <c r="BM230" s="30" t="s">
        <v>245</v>
      </c>
      <c r="BN230" s="30" t="s">
        <v>245</v>
      </c>
      <c r="BO230" s="30" t="s">
        <v>245</v>
      </c>
      <c r="BP230" s="30" t="s">
        <v>245</v>
      </c>
      <c r="BQ230" s="30" t="s">
        <v>245</v>
      </c>
      <c r="BR230" s="30" t="s">
        <v>245</v>
      </c>
      <c r="BS230" s="30" t="s">
        <v>2055</v>
      </c>
      <c r="BT230" s="30" t="str">
        <f>HYPERLINK("https%3A%2F%2Fwww.webofscience.com%2Fwos%2Fwoscc%2Ffull-record%2FWOS:000285365100011","View Full Record in Web of Science")</f>
        <v>View Full Record in Web of Science</v>
      </c>
    </row>
    <row r="231" spans="1:72" x14ac:dyDescent="0.2">
      <c r="A231" s="30" t="s">
        <v>243</v>
      </c>
      <c r="B231" s="30" t="s">
        <v>2056</v>
      </c>
      <c r="C231" s="30" t="s">
        <v>245</v>
      </c>
      <c r="D231" s="30" t="s">
        <v>245</v>
      </c>
      <c r="E231" s="30" t="s">
        <v>245</v>
      </c>
      <c r="F231" s="30" t="s">
        <v>2057</v>
      </c>
      <c r="G231" s="30" t="s">
        <v>245</v>
      </c>
      <c r="H231" s="30" t="s">
        <v>245</v>
      </c>
      <c r="I231" s="30" t="s">
        <v>2058</v>
      </c>
      <c r="J231" s="30" t="s">
        <v>304</v>
      </c>
      <c r="K231" s="30" t="s">
        <v>245</v>
      </c>
      <c r="L231" s="30" t="s">
        <v>245</v>
      </c>
      <c r="M231" s="30" t="s">
        <v>245</v>
      </c>
      <c r="N231" s="30" t="s">
        <v>245</v>
      </c>
      <c r="O231" s="30" t="s">
        <v>245</v>
      </c>
      <c r="P231" s="30" t="s">
        <v>245</v>
      </c>
      <c r="Q231" s="30" t="s">
        <v>245</v>
      </c>
      <c r="R231" s="30" t="s">
        <v>245</v>
      </c>
      <c r="S231" s="30" t="s">
        <v>245</v>
      </c>
      <c r="T231" s="30" t="s">
        <v>245</v>
      </c>
      <c r="U231" s="30" t="s">
        <v>245</v>
      </c>
      <c r="V231" s="30" t="s">
        <v>245</v>
      </c>
      <c r="W231" s="30" t="s">
        <v>245</v>
      </c>
      <c r="X231" s="30" t="s">
        <v>245</v>
      </c>
      <c r="Y231" s="30" t="s">
        <v>245</v>
      </c>
      <c r="Z231" s="30" t="s">
        <v>245</v>
      </c>
      <c r="AA231" s="30" t="s">
        <v>2059</v>
      </c>
      <c r="AB231" s="30" t="s">
        <v>2060</v>
      </c>
      <c r="AC231" s="30" t="s">
        <v>245</v>
      </c>
      <c r="AD231" s="30" t="s">
        <v>245</v>
      </c>
      <c r="AE231" s="30" t="s">
        <v>245</v>
      </c>
      <c r="AF231" s="30" t="s">
        <v>245</v>
      </c>
      <c r="AG231" s="30" t="s">
        <v>245</v>
      </c>
      <c r="AH231" s="30" t="s">
        <v>245</v>
      </c>
      <c r="AI231" s="30" t="s">
        <v>245</v>
      </c>
      <c r="AJ231" s="30" t="s">
        <v>245</v>
      </c>
      <c r="AK231" s="30" t="s">
        <v>245</v>
      </c>
      <c r="AL231" s="30" t="s">
        <v>245</v>
      </c>
      <c r="AM231" s="30" t="s">
        <v>245</v>
      </c>
      <c r="AN231" s="30" t="s">
        <v>245</v>
      </c>
      <c r="AO231" s="30" t="s">
        <v>307</v>
      </c>
      <c r="AP231" s="30" t="s">
        <v>308</v>
      </c>
      <c r="AQ231" s="30" t="s">
        <v>245</v>
      </c>
      <c r="AR231" s="30" t="s">
        <v>245</v>
      </c>
      <c r="AS231" s="30" t="s">
        <v>245</v>
      </c>
      <c r="AT231" s="30" t="s">
        <v>354</v>
      </c>
      <c r="AU231" s="30">
        <v>2016</v>
      </c>
      <c r="AV231" s="30">
        <v>62</v>
      </c>
      <c r="AW231" s="30">
        <v>2</v>
      </c>
      <c r="AX231" s="30" t="s">
        <v>245</v>
      </c>
      <c r="AY231" s="30" t="s">
        <v>245</v>
      </c>
      <c r="AZ231" s="30" t="s">
        <v>245</v>
      </c>
      <c r="BA231" s="30" t="s">
        <v>245</v>
      </c>
      <c r="BB231" s="30">
        <v>150</v>
      </c>
      <c r="BC231" s="30">
        <v>163</v>
      </c>
      <c r="BD231" s="30" t="s">
        <v>245</v>
      </c>
      <c r="BE231" s="30" t="s">
        <v>2061</v>
      </c>
      <c r="BF231" s="30" t="str">
        <f>HYPERLINK("http://dx.doi.org/10.1080/00380768.2016.1165598","http://dx.doi.org/10.1080/00380768.2016.1165598")</f>
        <v>http://dx.doi.org/10.1080/00380768.2016.1165598</v>
      </c>
      <c r="BG231" s="30" t="s">
        <v>245</v>
      </c>
      <c r="BH231" s="30" t="s">
        <v>245</v>
      </c>
      <c r="BI231" s="30" t="s">
        <v>245</v>
      </c>
      <c r="BJ231" s="30" t="s">
        <v>245</v>
      </c>
      <c r="BK231" s="30" t="s">
        <v>245</v>
      </c>
      <c r="BL231" s="30" t="s">
        <v>245</v>
      </c>
      <c r="BM231" s="30" t="s">
        <v>245</v>
      </c>
      <c r="BN231" s="30" t="s">
        <v>245</v>
      </c>
      <c r="BO231" s="30" t="s">
        <v>245</v>
      </c>
      <c r="BP231" s="30" t="s">
        <v>245</v>
      </c>
      <c r="BQ231" s="30" t="s">
        <v>245</v>
      </c>
      <c r="BR231" s="30" t="s">
        <v>245</v>
      </c>
      <c r="BS231" s="30" t="s">
        <v>2062</v>
      </c>
      <c r="BT231" s="30" t="str">
        <f>HYPERLINK("https%3A%2F%2Fwww.webofscience.com%2Fwos%2Fwoscc%2Ffull-record%2FWOS:000374909900007","View Full Record in Web of Science")</f>
        <v>View Full Record in Web of Science</v>
      </c>
    </row>
    <row r="232" spans="1:72" x14ac:dyDescent="0.2">
      <c r="A232" s="30" t="s">
        <v>243</v>
      </c>
      <c r="B232" s="30" t="s">
        <v>2063</v>
      </c>
      <c r="C232" s="30" t="s">
        <v>245</v>
      </c>
      <c r="D232" s="30" t="s">
        <v>245</v>
      </c>
      <c r="E232" s="30" t="s">
        <v>245</v>
      </c>
      <c r="F232" s="30" t="s">
        <v>2064</v>
      </c>
      <c r="G232" s="30" t="s">
        <v>245</v>
      </c>
      <c r="H232" s="30" t="s">
        <v>245</v>
      </c>
      <c r="I232" s="30" t="s">
        <v>2065</v>
      </c>
      <c r="J232" s="30" t="s">
        <v>432</v>
      </c>
      <c r="K232" s="30" t="s">
        <v>245</v>
      </c>
      <c r="L232" s="30" t="s">
        <v>245</v>
      </c>
      <c r="M232" s="30" t="s">
        <v>245</v>
      </c>
      <c r="N232" s="30" t="s">
        <v>245</v>
      </c>
      <c r="O232" s="30" t="s">
        <v>245</v>
      </c>
      <c r="P232" s="30" t="s">
        <v>245</v>
      </c>
      <c r="Q232" s="30" t="s">
        <v>245</v>
      </c>
      <c r="R232" s="30" t="s">
        <v>245</v>
      </c>
      <c r="S232" s="30" t="s">
        <v>245</v>
      </c>
      <c r="T232" s="30" t="s">
        <v>245</v>
      </c>
      <c r="U232" s="30" t="s">
        <v>245</v>
      </c>
      <c r="V232" s="30" t="s">
        <v>245</v>
      </c>
      <c r="W232" s="30" t="s">
        <v>245</v>
      </c>
      <c r="X232" s="30" t="s">
        <v>245</v>
      </c>
      <c r="Y232" s="30" t="s">
        <v>245</v>
      </c>
      <c r="Z232" s="30" t="s">
        <v>245</v>
      </c>
      <c r="AA232" s="30" t="s">
        <v>2066</v>
      </c>
      <c r="AB232" s="30" t="s">
        <v>2067</v>
      </c>
      <c r="AC232" s="30" t="s">
        <v>245</v>
      </c>
      <c r="AD232" s="30" t="s">
        <v>245</v>
      </c>
      <c r="AE232" s="30" t="s">
        <v>245</v>
      </c>
      <c r="AF232" s="30" t="s">
        <v>245</v>
      </c>
      <c r="AG232" s="30" t="s">
        <v>245</v>
      </c>
      <c r="AH232" s="30" t="s">
        <v>245</v>
      </c>
      <c r="AI232" s="30" t="s">
        <v>245</v>
      </c>
      <c r="AJ232" s="30" t="s">
        <v>245</v>
      </c>
      <c r="AK232" s="30" t="s">
        <v>245</v>
      </c>
      <c r="AL232" s="30" t="s">
        <v>245</v>
      </c>
      <c r="AM232" s="30" t="s">
        <v>245</v>
      </c>
      <c r="AN232" s="30" t="s">
        <v>245</v>
      </c>
      <c r="AO232" s="30" t="s">
        <v>433</v>
      </c>
      <c r="AP232" s="30" t="s">
        <v>434</v>
      </c>
      <c r="AQ232" s="30" t="s">
        <v>245</v>
      </c>
      <c r="AR232" s="30" t="s">
        <v>245</v>
      </c>
      <c r="AS232" s="30" t="s">
        <v>245</v>
      </c>
      <c r="AT232" s="30" t="s">
        <v>535</v>
      </c>
      <c r="AU232" s="30">
        <v>2012</v>
      </c>
      <c r="AV232" s="30">
        <v>357</v>
      </c>
      <c r="AW232" s="30" t="s">
        <v>436</v>
      </c>
      <c r="AX232" s="30" t="s">
        <v>245</v>
      </c>
      <c r="AY232" s="30" t="s">
        <v>245</v>
      </c>
      <c r="AZ232" s="30" t="s">
        <v>245</v>
      </c>
      <c r="BA232" s="30" t="s">
        <v>245</v>
      </c>
      <c r="BB232" s="30">
        <v>339</v>
      </c>
      <c r="BC232" s="30">
        <v>353</v>
      </c>
      <c r="BD232" s="30" t="s">
        <v>245</v>
      </c>
      <c r="BE232" s="30" t="s">
        <v>2068</v>
      </c>
      <c r="BF232" s="30" t="str">
        <f>HYPERLINK("http://dx.doi.org/10.1007/s11104-012-1168-9","http://dx.doi.org/10.1007/s11104-012-1168-9")</f>
        <v>http://dx.doi.org/10.1007/s11104-012-1168-9</v>
      </c>
      <c r="BG232" s="30" t="s">
        <v>245</v>
      </c>
      <c r="BH232" s="30" t="s">
        <v>245</v>
      </c>
      <c r="BI232" s="30" t="s">
        <v>245</v>
      </c>
      <c r="BJ232" s="30" t="s">
        <v>245</v>
      </c>
      <c r="BK232" s="30" t="s">
        <v>245</v>
      </c>
      <c r="BL232" s="30" t="s">
        <v>245</v>
      </c>
      <c r="BM232" s="30" t="s">
        <v>245</v>
      </c>
      <c r="BN232" s="30" t="s">
        <v>245</v>
      </c>
      <c r="BO232" s="30" t="s">
        <v>245</v>
      </c>
      <c r="BP232" s="30" t="s">
        <v>245</v>
      </c>
      <c r="BQ232" s="30" t="s">
        <v>245</v>
      </c>
      <c r="BR232" s="30" t="s">
        <v>245</v>
      </c>
      <c r="BS232" s="30" t="s">
        <v>2069</v>
      </c>
      <c r="BT232" s="30" t="str">
        <f>HYPERLINK("https%3A%2F%2Fwww.webofscience.com%2Fwos%2Fwoscc%2Ffull-record%2FWOS:000306552700026","View Full Record in Web of Science")</f>
        <v>View Full Record in Web of Science</v>
      </c>
    </row>
    <row r="233" spans="1:72" x14ac:dyDescent="0.2">
      <c r="A233" s="30" t="s">
        <v>243</v>
      </c>
      <c r="B233" s="30" t="s">
        <v>2070</v>
      </c>
      <c r="C233" s="30" t="s">
        <v>245</v>
      </c>
      <c r="D233" s="30" t="s">
        <v>245</v>
      </c>
      <c r="E233" s="30" t="s">
        <v>245</v>
      </c>
      <c r="F233" s="30" t="s">
        <v>2071</v>
      </c>
      <c r="G233" s="30" t="s">
        <v>245</v>
      </c>
      <c r="H233" s="30" t="s">
        <v>245</v>
      </c>
      <c r="I233" s="30" t="s">
        <v>2072</v>
      </c>
      <c r="J233" s="30" t="s">
        <v>765</v>
      </c>
      <c r="K233" s="30" t="s">
        <v>245</v>
      </c>
      <c r="L233" s="30" t="s">
        <v>245</v>
      </c>
      <c r="M233" s="30" t="s">
        <v>245</v>
      </c>
      <c r="N233" s="30" t="s">
        <v>245</v>
      </c>
      <c r="O233" s="30" t="s">
        <v>245</v>
      </c>
      <c r="P233" s="30" t="s">
        <v>245</v>
      </c>
      <c r="Q233" s="30" t="s">
        <v>245</v>
      </c>
      <c r="R233" s="30" t="s">
        <v>245</v>
      </c>
      <c r="S233" s="30" t="s">
        <v>245</v>
      </c>
      <c r="T233" s="30" t="s">
        <v>245</v>
      </c>
      <c r="U233" s="30" t="s">
        <v>245</v>
      </c>
      <c r="V233" s="30" t="s">
        <v>245</v>
      </c>
      <c r="W233" s="30" t="s">
        <v>245</v>
      </c>
      <c r="X233" s="30" t="s">
        <v>245</v>
      </c>
      <c r="Y233" s="30" t="s">
        <v>245</v>
      </c>
      <c r="Z233" s="30" t="s">
        <v>245</v>
      </c>
      <c r="AA233" s="30" t="s">
        <v>2073</v>
      </c>
      <c r="AB233" s="30" t="s">
        <v>2074</v>
      </c>
      <c r="AC233" s="30" t="s">
        <v>245</v>
      </c>
      <c r="AD233" s="30" t="s">
        <v>245</v>
      </c>
      <c r="AE233" s="30" t="s">
        <v>245</v>
      </c>
      <c r="AF233" s="30" t="s">
        <v>245</v>
      </c>
      <c r="AG233" s="30" t="s">
        <v>245</v>
      </c>
      <c r="AH233" s="30" t="s">
        <v>245</v>
      </c>
      <c r="AI233" s="30" t="s">
        <v>245</v>
      </c>
      <c r="AJ233" s="30" t="s">
        <v>245</v>
      </c>
      <c r="AK233" s="30" t="s">
        <v>245</v>
      </c>
      <c r="AL233" s="30" t="s">
        <v>245</v>
      </c>
      <c r="AM233" s="30" t="s">
        <v>245</v>
      </c>
      <c r="AN233" s="30" t="s">
        <v>245</v>
      </c>
      <c r="AO233" s="30" t="s">
        <v>768</v>
      </c>
      <c r="AP233" s="30" t="s">
        <v>769</v>
      </c>
      <c r="AQ233" s="30" t="s">
        <v>245</v>
      </c>
      <c r="AR233" s="30" t="s">
        <v>245</v>
      </c>
      <c r="AS233" s="30" t="s">
        <v>245</v>
      </c>
      <c r="AT233" s="30" t="s">
        <v>535</v>
      </c>
      <c r="AU233" s="30">
        <v>2018</v>
      </c>
      <c r="AV233" s="30">
        <v>187</v>
      </c>
      <c r="AW233" s="30" t="s">
        <v>245</v>
      </c>
      <c r="AX233" s="30" t="s">
        <v>245</v>
      </c>
      <c r="AY233" s="30" t="s">
        <v>245</v>
      </c>
      <c r="AZ233" s="30" t="s">
        <v>245</v>
      </c>
      <c r="BA233" s="30" t="s">
        <v>245</v>
      </c>
      <c r="BB233" s="30">
        <v>255</v>
      </c>
      <c r="BC233" s="30">
        <v>265</v>
      </c>
      <c r="BD233" s="30" t="s">
        <v>245</v>
      </c>
      <c r="BE233" s="30" t="s">
        <v>2075</v>
      </c>
      <c r="BF233" s="30" t="str">
        <f>HYPERLINK("http://dx.doi.org/10.1016/j.atmosenv.2018.05.065","http://dx.doi.org/10.1016/j.atmosenv.2018.05.065")</f>
        <v>http://dx.doi.org/10.1016/j.atmosenv.2018.05.065</v>
      </c>
      <c r="BG233" s="30" t="s">
        <v>245</v>
      </c>
      <c r="BH233" s="30" t="s">
        <v>245</v>
      </c>
      <c r="BI233" s="30" t="s">
        <v>245</v>
      </c>
      <c r="BJ233" s="30" t="s">
        <v>245</v>
      </c>
      <c r="BK233" s="30" t="s">
        <v>245</v>
      </c>
      <c r="BL233" s="30" t="s">
        <v>245</v>
      </c>
      <c r="BM233" s="30" t="s">
        <v>245</v>
      </c>
      <c r="BN233" s="30" t="s">
        <v>245</v>
      </c>
      <c r="BO233" s="30" t="s">
        <v>245</v>
      </c>
      <c r="BP233" s="30" t="s">
        <v>245</v>
      </c>
      <c r="BQ233" s="30" t="s">
        <v>245</v>
      </c>
      <c r="BR233" s="30" t="s">
        <v>245</v>
      </c>
      <c r="BS233" s="30" t="s">
        <v>2076</v>
      </c>
      <c r="BT233" s="30" t="str">
        <f>HYPERLINK("https%3A%2F%2Fwww.webofscience.com%2Fwos%2Fwoscc%2Ffull-record%2FWOS:000439672800022","View Full Record in Web of Science")</f>
        <v>View Full Record in Web of Science</v>
      </c>
    </row>
    <row r="234" spans="1:72" x14ac:dyDescent="0.2">
      <c r="A234" s="30" t="s">
        <v>243</v>
      </c>
      <c r="B234" s="30" t="s">
        <v>2077</v>
      </c>
      <c r="C234" s="30" t="s">
        <v>245</v>
      </c>
      <c r="D234" s="30" t="s">
        <v>245</v>
      </c>
      <c r="E234" s="30" t="s">
        <v>245</v>
      </c>
      <c r="F234" s="30" t="s">
        <v>2078</v>
      </c>
      <c r="G234" s="30" t="s">
        <v>245</v>
      </c>
      <c r="H234" s="30" t="s">
        <v>245</v>
      </c>
      <c r="I234" s="30" t="s">
        <v>2079</v>
      </c>
      <c r="J234" s="30" t="s">
        <v>2080</v>
      </c>
      <c r="K234" s="30" t="s">
        <v>245</v>
      </c>
      <c r="L234" s="30" t="s">
        <v>245</v>
      </c>
      <c r="M234" s="30" t="s">
        <v>245</v>
      </c>
      <c r="N234" s="30" t="s">
        <v>245</v>
      </c>
      <c r="O234" s="30" t="s">
        <v>245</v>
      </c>
      <c r="P234" s="30" t="s">
        <v>245</v>
      </c>
      <c r="Q234" s="30" t="s">
        <v>245</v>
      </c>
      <c r="R234" s="30" t="s">
        <v>245</v>
      </c>
      <c r="S234" s="30" t="s">
        <v>245</v>
      </c>
      <c r="T234" s="30" t="s">
        <v>245</v>
      </c>
      <c r="U234" s="30" t="s">
        <v>245</v>
      </c>
      <c r="V234" s="30" t="s">
        <v>245</v>
      </c>
      <c r="W234" s="30" t="s">
        <v>245</v>
      </c>
      <c r="X234" s="30" t="s">
        <v>245</v>
      </c>
      <c r="Y234" s="30" t="s">
        <v>245</v>
      </c>
      <c r="Z234" s="30" t="s">
        <v>245</v>
      </c>
      <c r="AA234" s="30" t="s">
        <v>2081</v>
      </c>
      <c r="AB234" s="30" t="s">
        <v>2082</v>
      </c>
      <c r="AC234" s="30" t="s">
        <v>245</v>
      </c>
      <c r="AD234" s="30" t="s">
        <v>245</v>
      </c>
      <c r="AE234" s="30" t="s">
        <v>245</v>
      </c>
      <c r="AF234" s="30" t="s">
        <v>245</v>
      </c>
      <c r="AG234" s="30" t="s">
        <v>245</v>
      </c>
      <c r="AH234" s="30" t="s">
        <v>245</v>
      </c>
      <c r="AI234" s="30" t="s">
        <v>245</v>
      </c>
      <c r="AJ234" s="30" t="s">
        <v>245</v>
      </c>
      <c r="AK234" s="30" t="s">
        <v>245</v>
      </c>
      <c r="AL234" s="30" t="s">
        <v>245</v>
      </c>
      <c r="AM234" s="30" t="s">
        <v>245</v>
      </c>
      <c r="AN234" s="30" t="s">
        <v>245</v>
      </c>
      <c r="AO234" s="30" t="s">
        <v>2083</v>
      </c>
      <c r="AP234" s="30" t="s">
        <v>245</v>
      </c>
      <c r="AQ234" s="30" t="s">
        <v>245</v>
      </c>
      <c r="AR234" s="30" t="s">
        <v>245</v>
      </c>
      <c r="AS234" s="30" t="s">
        <v>245</v>
      </c>
      <c r="AT234" s="30" t="s">
        <v>2084</v>
      </c>
      <c r="AU234" s="30">
        <v>2023</v>
      </c>
      <c r="AV234" s="30">
        <v>13</v>
      </c>
      <c r="AW234" s="30">
        <v>1</v>
      </c>
      <c r="AX234" s="30" t="s">
        <v>245</v>
      </c>
      <c r="AY234" s="30" t="s">
        <v>245</v>
      </c>
      <c r="AZ234" s="30" t="s">
        <v>245</v>
      </c>
      <c r="BA234" s="30" t="s">
        <v>245</v>
      </c>
      <c r="BB234" s="30" t="s">
        <v>245</v>
      </c>
      <c r="BC234" s="30" t="s">
        <v>245</v>
      </c>
      <c r="BD234" s="30">
        <v>5113</v>
      </c>
      <c r="BE234" s="30" t="s">
        <v>2085</v>
      </c>
      <c r="BF234" s="30" t="str">
        <f>HYPERLINK("http://dx.doi.org/10.1038/s41598-023-32127-0","http://dx.doi.org/10.1038/s41598-023-32127-0")</f>
        <v>http://dx.doi.org/10.1038/s41598-023-32127-0</v>
      </c>
      <c r="BG234" s="30" t="s">
        <v>245</v>
      </c>
      <c r="BH234" s="30" t="s">
        <v>245</v>
      </c>
      <c r="BI234" s="30" t="s">
        <v>245</v>
      </c>
      <c r="BJ234" s="30" t="s">
        <v>245</v>
      </c>
      <c r="BK234" s="30" t="s">
        <v>245</v>
      </c>
      <c r="BL234" s="30" t="s">
        <v>245</v>
      </c>
      <c r="BM234" s="30" t="s">
        <v>245</v>
      </c>
      <c r="BN234" s="30">
        <v>36991072</v>
      </c>
      <c r="BO234" s="30" t="s">
        <v>245</v>
      </c>
      <c r="BP234" s="30" t="s">
        <v>245</v>
      </c>
      <c r="BQ234" s="30" t="s">
        <v>245</v>
      </c>
      <c r="BR234" s="30" t="s">
        <v>245</v>
      </c>
      <c r="BS234" s="30" t="s">
        <v>2086</v>
      </c>
      <c r="BT234" s="30" t="str">
        <f>HYPERLINK("https%3A%2F%2Fwww.webofscience.com%2Fwos%2Fwoscc%2Ffull-record%2FWOS:001003614500007","View Full Record in Web of Science")</f>
        <v>View Full Record in Web of Science</v>
      </c>
    </row>
    <row r="235" spans="1:72" x14ac:dyDescent="0.2">
      <c r="A235" s="30" t="s">
        <v>243</v>
      </c>
      <c r="B235" s="30" t="s">
        <v>2087</v>
      </c>
      <c r="C235" s="30" t="s">
        <v>245</v>
      </c>
      <c r="D235" s="30" t="s">
        <v>245</v>
      </c>
      <c r="E235" s="30" t="s">
        <v>245</v>
      </c>
      <c r="F235" s="30" t="s">
        <v>2088</v>
      </c>
      <c r="G235" s="30" t="s">
        <v>245</v>
      </c>
      <c r="H235" s="30" t="s">
        <v>245</v>
      </c>
      <c r="I235" s="30" t="s">
        <v>2089</v>
      </c>
      <c r="J235" s="30" t="s">
        <v>892</v>
      </c>
      <c r="K235" s="30" t="s">
        <v>245</v>
      </c>
      <c r="L235" s="30" t="s">
        <v>245</v>
      </c>
      <c r="M235" s="30" t="s">
        <v>245</v>
      </c>
      <c r="N235" s="30" t="s">
        <v>245</v>
      </c>
      <c r="O235" s="30" t="s">
        <v>245</v>
      </c>
      <c r="P235" s="30" t="s">
        <v>245</v>
      </c>
      <c r="Q235" s="30" t="s">
        <v>245</v>
      </c>
      <c r="R235" s="30" t="s">
        <v>245</v>
      </c>
      <c r="S235" s="30" t="s">
        <v>245</v>
      </c>
      <c r="T235" s="30" t="s">
        <v>245</v>
      </c>
      <c r="U235" s="30" t="s">
        <v>245</v>
      </c>
      <c r="V235" s="30" t="s">
        <v>245</v>
      </c>
      <c r="W235" s="30" t="s">
        <v>245</v>
      </c>
      <c r="X235" s="30" t="s">
        <v>245</v>
      </c>
      <c r="Y235" s="30" t="s">
        <v>245</v>
      </c>
      <c r="Z235" s="30" t="s">
        <v>245</v>
      </c>
      <c r="AA235" s="30" t="s">
        <v>2090</v>
      </c>
      <c r="AB235" s="30" t="s">
        <v>2091</v>
      </c>
      <c r="AC235" s="30" t="s">
        <v>245</v>
      </c>
      <c r="AD235" s="30" t="s">
        <v>245</v>
      </c>
      <c r="AE235" s="30" t="s">
        <v>245</v>
      </c>
      <c r="AF235" s="30" t="s">
        <v>245</v>
      </c>
      <c r="AG235" s="30" t="s">
        <v>245</v>
      </c>
      <c r="AH235" s="30" t="s">
        <v>245</v>
      </c>
      <c r="AI235" s="30" t="s">
        <v>245</v>
      </c>
      <c r="AJ235" s="30" t="s">
        <v>245</v>
      </c>
      <c r="AK235" s="30" t="s">
        <v>245</v>
      </c>
      <c r="AL235" s="30" t="s">
        <v>245</v>
      </c>
      <c r="AM235" s="30" t="s">
        <v>245</v>
      </c>
      <c r="AN235" s="30" t="s">
        <v>245</v>
      </c>
      <c r="AO235" s="30" t="s">
        <v>898</v>
      </c>
      <c r="AP235" s="30" t="s">
        <v>899</v>
      </c>
      <c r="AQ235" s="30" t="s">
        <v>245</v>
      </c>
      <c r="AR235" s="30" t="s">
        <v>245</v>
      </c>
      <c r="AS235" s="30" t="s">
        <v>245</v>
      </c>
      <c r="AT235" s="30" t="s">
        <v>435</v>
      </c>
      <c r="AU235" s="30">
        <v>2025</v>
      </c>
      <c r="AV235" s="30">
        <v>248</v>
      </c>
      <c r="AW235" s="30" t="s">
        <v>245</v>
      </c>
      <c r="AX235" s="30" t="s">
        <v>245</v>
      </c>
      <c r="AY235" s="30" t="s">
        <v>245</v>
      </c>
      <c r="AZ235" s="30" t="s">
        <v>245</v>
      </c>
      <c r="BA235" s="30" t="s">
        <v>245</v>
      </c>
      <c r="BB235" s="30" t="s">
        <v>245</v>
      </c>
      <c r="BC235" s="30" t="s">
        <v>245</v>
      </c>
      <c r="BD235" s="30">
        <v>106376</v>
      </c>
      <c r="BE235" s="30" t="s">
        <v>2092</v>
      </c>
      <c r="BF235" s="30" t="str">
        <f>HYPERLINK("http://dx.doi.org/10.1016/j.still.2024.106376","http://dx.doi.org/10.1016/j.still.2024.106376")</f>
        <v>http://dx.doi.org/10.1016/j.still.2024.106376</v>
      </c>
      <c r="BG235" s="30" t="s">
        <v>245</v>
      </c>
      <c r="BH235" s="30" t="s">
        <v>1338</v>
      </c>
      <c r="BI235" s="30" t="s">
        <v>245</v>
      </c>
      <c r="BJ235" s="30" t="s">
        <v>245</v>
      </c>
      <c r="BK235" s="30" t="s">
        <v>245</v>
      </c>
      <c r="BL235" s="30" t="s">
        <v>245</v>
      </c>
      <c r="BM235" s="30" t="s">
        <v>245</v>
      </c>
      <c r="BN235" s="30" t="s">
        <v>245</v>
      </c>
      <c r="BO235" s="30" t="s">
        <v>245</v>
      </c>
      <c r="BP235" s="30" t="s">
        <v>245</v>
      </c>
      <c r="BQ235" s="30" t="s">
        <v>245</v>
      </c>
      <c r="BR235" s="30" t="s">
        <v>245</v>
      </c>
      <c r="BS235" s="30" t="s">
        <v>2093</v>
      </c>
      <c r="BT235" s="30" t="str">
        <f>HYPERLINK("https%3A%2F%2Fwww.webofscience.com%2Fwos%2Fwoscc%2Ffull-record%2FWOS:001391254400001","View Full Record in Web of Science")</f>
        <v>View Full Record in Web of Science</v>
      </c>
    </row>
    <row r="236" spans="1:72" x14ac:dyDescent="0.2">
      <c r="A236" s="30" t="s">
        <v>851</v>
      </c>
      <c r="B236" s="30" t="s">
        <v>2094</v>
      </c>
      <c r="C236" s="30" t="s">
        <v>245</v>
      </c>
      <c r="D236" s="30" t="s">
        <v>2095</v>
      </c>
      <c r="E236" s="30" t="s">
        <v>245</v>
      </c>
      <c r="F236" s="30" t="s">
        <v>2096</v>
      </c>
      <c r="G236" s="30" t="s">
        <v>245</v>
      </c>
      <c r="H236" s="30" t="s">
        <v>245</v>
      </c>
      <c r="I236" s="30" t="s">
        <v>2097</v>
      </c>
      <c r="J236" s="30" t="s">
        <v>2098</v>
      </c>
      <c r="K236" s="30" t="s">
        <v>2099</v>
      </c>
      <c r="L236" s="30" t="s">
        <v>245</v>
      </c>
      <c r="M236" s="30" t="s">
        <v>245</v>
      </c>
      <c r="N236" s="30" t="s">
        <v>245</v>
      </c>
      <c r="O236" s="30" t="s">
        <v>2100</v>
      </c>
      <c r="P236" s="30" t="s">
        <v>2101</v>
      </c>
      <c r="Q236" s="30" t="s">
        <v>2102</v>
      </c>
      <c r="R236" s="30" t="s">
        <v>245</v>
      </c>
      <c r="S236" s="30" t="s">
        <v>2103</v>
      </c>
      <c r="T236" s="30" t="s">
        <v>245</v>
      </c>
      <c r="U236" s="30" t="s">
        <v>245</v>
      </c>
      <c r="V236" s="30" t="s">
        <v>245</v>
      </c>
      <c r="W236" s="30" t="s">
        <v>245</v>
      </c>
      <c r="X236" s="30" t="s">
        <v>245</v>
      </c>
      <c r="Y236" s="30" t="s">
        <v>245</v>
      </c>
      <c r="Z236" s="30" t="s">
        <v>245</v>
      </c>
      <c r="AA236" s="30" t="s">
        <v>2104</v>
      </c>
      <c r="AB236" s="30" t="s">
        <v>245</v>
      </c>
      <c r="AC236" s="30" t="s">
        <v>245</v>
      </c>
      <c r="AD236" s="30" t="s">
        <v>245</v>
      </c>
      <c r="AE236" s="30" t="s">
        <v>245</v>
      </c>
      <c r="AF236" s="30" t="s">
        <v>245</v>
      </c>
      <c r="AG236" s="30" t="s">
        <v>245</v>
      </c>
      <c r="AH236" s="30" t="s">
        <v>245</v>
      </c>
      <c r="AI236" s="30" t="s">
        <v>245</v>
      </c>
      <c r="AJ236" s="30" t="s">
        <v>245</v>
      </c>
      <c r="AK236" s="30" t="s">
        <v>245</v>
      </c>
      <c r="AL236" s="30" t="s">
        <v>245</v>
      </c>
      <c r="AM236" s="30" t="s">
        <v>245</v>
      </c>
      <c r="AN236" s="30" t="s">
        <v>245</v>
      </c>
      <c r="AO236" s="30" t="s">
        <v>245</v>
      </c>
      <c r="AP236" s="30" t="s">
        <v>245</v>
      </c>
      <c r="AQ236" s="30" t="s">
        <v>2105</v>
      </c>
      <c r="AR236" s="30" t="s">
        <v>245</v>
      </c>
      <c r="AS236" s="30" t="s">
        <v>245</v>
      </c>
      <c r="AT236" s="30" t="s">
        <v>245</v>
      </c>
      <c r="AU236" s="30">
        <v>2019</v>
      </c>
      <c r="AV236" s="30" t="s">
        <v>245</v>
      </c>
      <c r="AW236" s="30" t="s">
        <v>245</v>
      </c>
      <c r="AX236" s="30" t="s">
        <v>245</v>
      </c>
      <c r="AY236" s="30" t="s">
        <v>245</v>
      </c>
      <c r="AZ236" s="30" t="s">
        <v>245</v>
      </c>
      <c r="BA236" s="30" t="s">
        <v>245</v>
      </c>
      <c r="BB236" s="30">
        <v>29</v>
      </c>
      <c r="BC236" s="30">
        <v>43</v>
      </c>
      <c r="BD236" s="30" t="s">
        <v>245</v>
      </c>
      <c r="BE236" s="30" t="s">
        <v>2106</v>
      </c>
      <c r="BF236" s="30" t="str">
        <f>HYPERLINK("http://dx.doi.org/10.1007/978-3-030-17597-9_3","http://dx.doi.org/10.1007/978-3-030-17597-9_3")</f>
        <v>http://dx.doi.org/10.1007/978-3-030-17597-9_3</v>
      </c>
      <c r="BG236" s="30" t="s">
        <v>245</v>
      </c>
      <c r="BH236" s="30" t="s">
        <v>245</v>
      </c>
      <c r="BI236" s="30" t="s">
        <v>245</v>
      </c>
      <c r="BJ236" s="30" t="s">
        <v>245</v>
      </c>
      <c r="BK236" s="30" t="s">
        <v>245</v>
      </c>
      <c r="BL236" s="30" t="s">
        <v>245</v>
      </c>
      <c r="BM236" s="30" t="s">
        <v>245</v>
      </c>
      <c r="BN236" s="30" t="s">
        <v>245</v>
      </c>
      <c r="BO236" s="30" t="s">
        <v>245</v>
      </c>
      <c r="BP236" s="30" t="s">
        <v>245</v>
      </c>
      <c r="BQ236" s="30" t="s">
        <v>245</v>
      </c>
      <c r="BR236" s="30" t="s">
        <v>245</v>
      </c>
      <c r="BS236" s="30" t="s">
        <v>2107</v>
      </c>
      <c r="BT236" s="30" t="str">
        <f>HYPERLINK("https%3A%2F%2Fwww.webofscience.com%2Fwos%2Fwoscc%2Ffull-record%2FWOS:000578327200003","View Full Record in Web of Science")</f>
        <v>View Full Record in Web of Science</v>
      </c>
    </row>
    <row r="237" spans="1:72" x14ac:dyDescent="0.2">
      <c r="A237" s="30" t="s">
        <v>243</v>
      </c>
      <c r="B237" s="30" t="s">
        <v>2108</v>
      </c>
      <c r="C237" s="30" t="s">
        <v>245</v>
      </c>
      <c r="D237" s="30" t="s">
        <v>245</v>
      </c>
      <c r="E237" s="30" t="s">
        <v>245</v>
      </c>
      <c r="F237" s="30" t="s">
        <v>2109</v>
      </c>
      <c r="G237" s="30" t="s">
        <v>245</v>
      </c>
      <c r="H237" s="30" t="s">
        <v>245</v>
      </c>
      <c r="I237" s="30" t="s">
        <v>2110</v>
      </c>
      <c r="J237" s="30" t="s">
        <v>2111</v>
      </c>
      <c r="K237" s="30" t="s">
        <v>245</v>
      </c>
      <c r="L237" s="30" t="s">
        <v>245</v>
      </c>
      <c r="M237" s="30" t="s">
        <v>245</v>
      </c>
      <c r="N237" s="30" t="s">
        <v>245</v>
      </c>
      <c r="O237" s="30" t="s">
        <v>245</v>
      </c>
      <c r="P237" s="30" t="s">
        <v>245</v>
      </c>
      <c r="Q237" s="30" t="s">
        <v>245</v>
      </c>
      <c r="R237" s="30" t="s">
        <v>245</v>
      </c>
      <c r="S237" s="30" t="s">
        <v>245</v>
      </c>
      <c r="T237" s="30" t="s">
        <v>245</v>
      </c>
      <c r="U237" s="30" t="s">
        <v>245</v>
      </c>
      <c r="V237" s="30" t="s">
        <v>245</v>
      </c>
      <c r="W237" s="30" t="s">
        <v>245</v>
      </c>
      <c r="X237" s="30" t="s">
        <v>245</v>
      </c>
      <c r="Y237" s="30" t="s">
        <v>245</v>
      </c>
      <c r="Z237" s="30" t="s">
        <v>245</v>
      </c>
      <c r="AA237" s="30" t="s">
        <v>2112</v>
      </c>
      <c r="AB237" s="30" t="s">
        <v>245</v>
      </c>
      <c r="AC237" s="30" t="s">
        <v>245</v>
      </c>
      <c r="AD237" s="30" t="s">
        <v>245</v>
      </c>
      <c r="AE237" s="30" t="s">
        <v>245</v>
      </c>
      <c r="AF237" s="30" t="s">
        <v>245</v>
      </c>
      <c r="AG237" s="30" t="s">
        <v>245</v>
      </c>
      <c r="AH237" s="30" t="s">
        <v>245</v>
      </c>
      <c r="AI237" s="30" t="s">
        <v>245</v>
      </c>
      <c r="AJ237" s="30" t="s">
        <v>245</v>
      </c>
      <c r="AK237" s="30" t="s">
        <v>245</v>
      </c>
      <c r="AL237" s="30" t="s">
        <v>245</v>
      </c>
      <c r="AM237" s="30" t="s">
        <v>245</v>
      </c>
      <c r="AN237" s="30" t="s">
        <v>245</v>
      </c>
      <c r="AO237" s="30" t="s">
        <v>2113</v>
      </c>
      <c r="AP237" s="30" t="s">
        <v>2114</v>
      </c>
      <c r="AQ237" s="30" t="s">
        <v>245</v>
      </c>
      <c r="AR237" s="30" t="s">
        <v>245</v>
      </c>
      <c r="AS237" s="30" t="s">
        <v>245</v>
      </c>
      <c r="AT237" s="30" t="s">
        <v>1237</v>
      </c>
      <c r="AU237" s="30">
        <v>2023</v>
      </c>
      <c r="AV237" s="30">
        <v>347</v>
      </c>
      <c r="AW237" s="30" t="s">
        <v>245</v>
      </c>
      <c r="AX237" s="30" t="s">
        <v>245</v>
      </c>
      <c r="AY237" s="30" t="s">
        <v>245</v>
      </c>
      <c r="AZ237" s="30" t="s">
        <v>245</v>
      </c>
      <c r="BA237" s="30" t="s">
        <v>245</v>
      </c>
      <c r="BB237" s="30">
        <v>28</v>
      </c>
      <c r="BC237" s="30">
        <v>41</v>
      </c>
      <c r="BD237" s="30" t="s">
        <v>245</v>
      </c>
      <c r="BE237" s="30" t="s">
        <v>2115</v>
      </c>
      <c r="BF237" s="30" t="str">
        <f>HYPERLINK("http://dx.doi.org/10.1016/j.gca.2023.02.013","http://dx.doi.org/10.1016/j.gca.2023.02.013")</f>
        <v>http://dx.doi.org/10.1016/j.gca.2023.02.013</v>
      </c>
      <c r="BG237" s="30" t="s">
        <v>245</v>
      </c>
      <c r="BH237" s="30" t="s">
        <v>2116</v>
      </c>
      <c r="BI237" s="30" t="s">
        <v>245</v>
      </c>
      <c r="BJ237" s="30" t="s">
        <v>245</v>
      </c>
      <c r="BK237" s="30" t="s">
        <v>245</v>
      </c>
      <c r="BL237" s="30" t="s">
        <v>245</v>
      </c>
      <c r="BM237" s="30" t="s">
        <v>245</v>
      </c>
      <c r="BN237" s="30" t="s">
        <v>245</v>
      </c>
      <c r="BO237" s="30" t="s">
        <v>245</v>
      </c>
      <c r="BP237" s="30" t="s">
        <v>245</v>
      </c>
      <c r="BQ237" s="30" t="s">
        <v>245</v>
      </c>
      <c r="BR237" s="30" t="s">
        <v>245</v>
      </c>
      <c r="BS237" s="30" t="s">
        <v>2117</v>
      </c>
      <c r="BT237" s="30" t="str">
        <f>HYPERLINK("https%3A%2F%2Fwww.webofscience.com%2Fwos%2Fwoscc%2Ffull-record%2FWOS:000990982800001","View Full Record in Web of Science")</f>
        <v>View Full Record in Web of Science</v>
      </c>
    </row>
    <row r="238" spans="1:72" x14ac:dyDescent="0.2">
      <c r="A238" s="30" t="s">
        <v>243</v>
      </c>
      <c r="B238" s="30" t="s">
        <v>2118</v>
      </c>
      <c r="C238" s="30" t="s">
        <v>245</v>
      </c>
      <c r="D238" s="30" t="s">
        <v>245</v>
      </c>
      <c r="E238" s="30" t="s">
        <v>245</v>
      </c>
      <c r="F238" s="30" t="s">
        <v>2118</v>
      </c>
      <c r="G238" s="30" t="s">
        <v>245</v>
      </c>
      <c r="H238" s="30" t="s">
        <v>245</v>
      </c>
      <c r="I238" s="30" t="s">
        <v>2119</v>
      </c>
      <c r="J238" s="30" t="s">
        <v>336</v>
      </c>
      <c r="K238" s="30" t="s">
        <v>245</v>
      </c>
      <c r="L238" s="30" t="s">
        <v>245</v>
      </c>
      <c r="M238" s="30" t="s">
        <v>245</v>
      </c>
      <c r="N238" s="30" t="s">
        <v>245</v>
      </c>
      <c r="O238" s="30" t="s">
        <v>245</v>
      </c>
      <c r="P238" s="30" t="s">
        <v>245</v>
      </c>
      <c r="Q238" s="30" t="s">
        <v>245</v>
      </c>
      <c r="R238" s="30" t="s">
        <v>245</v>
      </c>
      <c r="S238" s="30" t="s">
        <v>245</v>
      </c>
      <c r="T238" s="30" t="s">
        <v>245</v>
      </c>
      <c r="U238" s="30" t="s">
        <v>245</v>
      </c>
      <c r="V238" s="30" t="s">
        <v>245</v>
      </c>
      <c r="W238" s="30" t="s">
        <v>245</v>
      </c>
      <c r="X238" s="30" t="s">
        <v>245</v>
      </c>
      <c r="Y238" s="30" t="s">
        <v>245</v>
      </c>
      <c r="Z238" s="30" t="s">
        <v>245</v>
      </c>
      <c r="AA238" s="30" t="s">
        <v>2120</v>
      </c>
      <c r="AB238" s="30" t="s">
        <v>2121</v>
      </c>
      <c r="AC238" s="30" t="s">
        <v>245</v>
      </c>
      <c r="AD238" s="30" t="s">
        <v>245</v>
      </c>
      <c r="AE238" s="30" t="s">
        <v>245</v>
      </c>
      <c r="AF238" s="30" t="s">
        <v>245</v>
      </c>
      <c r="AG238" s="30" t="s">
        <v>245</v>
      </c>
      <c r="AH238" s="30" t="s">
        <v>245</v>
      </c>
      <c r="AI238" s="30" t="s">
        <v>245</v>
      </c>
      <c r="AJ238" s="30" t="s">
        <v>245</v>
      </c>
      <c r="AK238" s="30" t="s">
        <v>245</v>
      </c>
      <c r="AL238" s="30" t="s">
        <v>245</v>
      </c>
      <c r="AM238" s="30" t="s">
        <v>245</v>
      </c>
      <c r="AN238" s="30" t="s">
        <v>245</v>
      </c>
      <c r="AO238" s="30" t="s">
        <v>343</v>
      </c>
      <c r="AP238" s="30" t="s">
        <v>245</v>
      </c>
      <c r="AQ238" s="30" t="s">
        <v>245</v>
      </c>
      <c r="AR238" s="30" t="s">
        <v>245</v>
      </c>
      <c r="AS238" s="30" t="s">
        <v>245</v>
      </c>
      <c r="AT238" s="30" t="s">
        <v>550</v>
      </c>
      <c r="AU238" s="30">
        <v>2000</v>
      </c>
      <c r="AV238" s="30">
        <v>58</v>
      </c>
      <c r="AW238" s="30" t="s">
        <v>345</v>
      </c>
      <c r="AX238" s="30" t="s">
        <v>245</v>
      </c>
      <c r="AY238" s="30" t="s">
        <v>245</v>
      </c>
      <c r="AZ238" s="30" t="s">
        <v>245</v>
      </c>
      <c r="BA238" s="30" t="s">
        <v>245</v>
      </c>
      <c r="BB238" s="30">
        <v>23</v>
      </c>
      <c r="BC238" s="30">
        <v>36</v>
      </c>
      <c r="BD238" s="30" t="s">
        <v>245</v>
      </c>
      <c r="BE238" s="30" t="s">
        <v>2122</v>
      </c>
      <c r="BF238" s="30" t="str">
        <f>HYPERLINK("http://dx.doi.org/10.1023/A:1009874014903","http://dx.doi.org/10.1023/A:1009874014903")</f>
        <v>http://dx.doi.org/10.1023/A:1009874014903</v>
      </c>
      <c r="BG238" s="30" t="s">
        <v>245</v>
      </c>
      <c r="BH238" s="30" t="s">
        <v>245</v>
      </c>
      <c r="BI238" s="30" t="s">
        <v>245</v>
      </c>
      <c r="BJ238" s="30" t="s">
        <v>245</v>
      </c>
      <c r="BK238" s="30" t="s">
        <v>245</v>
      </c>
      <c r="BL238" s="30" t="s">
        <v>245</v>
      </c>
      <c r="BM238" s="30" t="s">
        <v>245</v>
      </c>
      <c r="BN238" s="30" t="s">
        <v>245</v>
      </c>
      <c r="BO238" s="30" t="s">
        <v>245</v>
      </c>
      <c r="BP238" s="30" t="s">
        <v>245</v>
      </c>
      <c r="BQ238" s="30" t="s">
        <v>245</v>
      </c>
      <c r="BR238" s="30" t="s">
        <v>245</v>
      </c>
      <c r="BS238" s="30" t="s">
        <v>2123</v>
      </c>
      <c r="BT238" s="30" t="str">
        <f>HYPERLINK("https%3A%2F%2Fwww.webofscience.com%2Fwos%2Fwoscc%2Ffull-record%2FWOS:000166362400003","View Full Record in Web of Science")</f>
        <v>View Full Record in Web of Science</v>
      </c>
    </row>
    <row r="239" spans="1:72" x14ac:dyDescent="0.2">
      <c r="A239" s="30" t="s">
        <v>243</v>
      </c>
      <c r="B239" s="30" t="s">
        <v>2124</v>
      </c>
      <c r="C239" s="30" t="s">
        <v>245</v>
      </c>
      <c r="D239" s="30" t="s">
        <v>245</v>
      </c>
      <c r="E239" s="30" t="s">
        <v>245</v>
      </c>
      <c r="F239" s="30" t="s">
        <v>2125</v>
      </c>
      <c r="G239" s="30" t="s">
        <v>245</v>
      </c>
      <c r="H239" s="30" t="s">
        <v>245</v>
      </c>
      <c r="I239" s="30" t="s">
        <v>2126</v>
      </c>
      <c r="J239" s="30" t="s">
        <v>413</v>
      </c>
      <c r="K239" s="30" t="s">
        <v>245</v>
      </c>
      <c r="L239" s="30" t="s">
        <v>245</v>
      </c>
      <c r="M239" s="30" t="s">
        <v>245</v>
      </c>
      <c r="N239" s="30" t="s">
        <v>245</v>
      </c>
      <c r="O239" s="30" t="s">
        <v>245</v>
      </c>
      <c r="P239" s="30" t="s">
        <v>245</v>
      </c>
      <c r="Q239" s="30" t="s">
        <v>245</v>
      </c>
      <c r="R239" s="30" t="s">
        <v>245</v>
      </c>
      <c r="S239" s="30" t="s">
        <v>245</v>
      </c>
      <c r="T239" s="30" t="s">
        <v>245</v>
      </c>
      <c r="U239" s="30" t="s">
        <v>245</v>
      </c>
      <c r="V239" s="30" t="s">
        <v>245</v>
      </c>
      <c r="W239" s="30" t="s">
        <v>245</v>
      </c>
      <c r="X239" s="30" t="s">
        <v>245</v>
      </c>
      <c r="Y239" s="30" t="s">
        <v>245</v>
      </c>
      <c r="Z239" s="30" t="s">
        <v>245</v>
      </c>
      <c r="AA239" s="30" t="s">
        <v>2127</v>
      </c>
      <c r="AB239" s="30" t="s">
        <v>2128</v>
      </c>
      <c r="AC239" s="30" t="s">
        <v>245</v>
      </c>
      <c r="AD239" s="30" t="s">
        <v>245</v>
      </c>
      <c r="AE239" s="30" t="s">
        <v>245</v>
      </c>
      <c r="AF239" s="30" t="s">
        <v>245</v>
      </c>
      <c r="AG239" s="30" t="s">
        <v>245</v>
      </c>
      <c r="AH239" s="30" t="s">
        <v>245</v>
      </c>
      <c r="AI239" s="30" t="s">
        <v>245</v>
      </c>
      <c r="AJ239" s="30" t="s">
        <v>245</v>
      </c>
      <c r="AK239" s="30" t="s">
        <v>245</v>
      </c>
      <c r="AL239" s="30" t="s">
        <v>245</v>
      </c>
      <c r="AM239" s="30" t="s">
        <v>245</v>
      </c>
      <c r="AN239" s="30" t="s">
        <v>245</v>
      </c>
      <c r="AO239" s="30" t="s">
        <v>416</v>
      </c>
      <c r="AP239" s="30" t="s">
        <v>417</v>
      </c>
      <c r="AQ239" s="30" t="s">
        <v>245</v>
      </c>
      <c r="AR239" s="30" t="s">
        <v>245</v>
      </c>
      <c r="AS239" s="30" t="s">
        <v>245</v>
      </c>
      <c r="AT239" s="30" t="s">
        <v>384</v>
      </c>
      <c r="AU239" s="30">
        <v>2023</v>
      </c>
      <c r="AV239" s="30">
        <v>877</v>
      </c>
      <c r="AW239" s="30" t="s">
        <v>245</v>
      </c>
      <c r="AX239" s="30" t="s">
        <v>245</v>
      </c>
      <c r="AY239" s="30" t="s">
        <v>245</v>
      </c>
      <c r="AZ239" s="30" t="s">
        <v>245</v>
      </c>
      <c r="BA239" s="30" t="s">
        <v>245</v>
      </c>
      <c r="BB239" s="30" t="s">
        <v>245</v>
      </c>
      <c r="BC239" s="30" t="s">
        <v>245</v>
      </c>
      <c r="BD239" s="30">
        <v>162837</v>
      </c>
      <c r="BE239" s="30" t="s">
        <v>2129</v>
      </c>
      <c r="BF239" s="30" t="str">
        <f>HYPERLINK("http://dx.doi.org/10.1016/j.scitotenv.2023.162837","http://dx.doi.org/10.1016/j.scitotenv.2023.162837")</f>
        <v>http://dx.doi.org/10.1016/j.scitotenv.2023.162837</v>
      </c>
      <c r="BG239" s="30" t="s">
        <v>245</v>
      </c>
      <c r="BH239" s="30" t="s">
        <v>2116</v>
      </c>
      <c r="BI239" s="30" t="s">
        <v>245</v>
      </c>
      <c r="BJ239" s="30" t="s">
        <v>245</v>
      </c>
      <c r="BK239" s="30" t="s">
        <v>245</v>
      </c>
      <c r="BL239" s="30" t="s">
        <v>245</v>
      </c>
      <c r="BM239" s="30" t="s">
        <v>245</v>
      </c>
      <c r="BN239" s="30">
        <v>36924958</v>
      </c>
      <c r="BO239" s="30" t="s">
        <v>245</v>
      </c>
      <c r="BP239" s="30" t="s">
        <v>245</v>
      </c>
      <c r="BQ239" s="30" t="s">
        <v>245</v>
      </c>
      <c r="BR239" s="30" t="s">
        <v>245</v>
      </c>
      <c r="BS239" s="30" t="s">
        <v>2130</v>
      </c>
      <c r="BT239" s="30" t="str">
        <f>HYPERLINK("https%3A%2F%2Fwww.webofscience.com%2Fwos%2Fwoscc%2Ffull-record%2FWOS:000959636900001","View Full Record in Web of Science")</f>
        <v>View Full Record in Web of Science</v>
      </c>
    </row>
    <row r="240" spans="1:72" x14ac:dyDescent="0.2">
      <c r="A240" s="30" t="s">
        <v>243</v>
      </c>
      <c r="B240" s="30" t="s">
        <v>2131</v>
      </c>
      <c r="C240" s="30" t="s">
        <v>245</v>
      </c>
      <c r="D240" s="30" t="s">
        <v>245</v>
      </c>
      <c r="E240" s="30" t="s">
        <v>245</v>
      </c>
      <c r="F240" s="30" t="s">
        <v>2132</v>
      </c>
      <c r="G240" s="30" t="s">
        <v>245</v>
      </c>
      <c r="H240" s="30" t="s">
        <v>245</v>
      </c>
      <c r="I240" s="30" t="s">
        <v>2133</v>
      </c>
      <c r="J240" s="30" t="s">
        <v>248</v>
      </c>
      <c r="K240" s="30" t="s">
        <v>245</v>
      </c>
      <c r="L240" s="30" t="s">
        <v>245</v>
      </c>
      <c r="M240" s="30" t="s">
        <v>245</v>
      </c>
      <c r="N240" s="30" t="s">
        <v>245</v>
      </c>
      <c r="O240" s="30" t="s">
        <v>245</v>
      </c>
      <c r="P240" s="30" t="s">
        <v>245</v>
      </c>
      <c r="Q240" s="30" t="s">
        <v>245</v>
      </c>
      <c r="R240" s="30" t="s">
        <v>245</v>
      </c>
      <c r="S240" s="30" t="s">
        <v>245</v>
      </c>
      <c r="T240" s="30" t="s">
        <v>245</v>
      </c>
      <c r="U240" s="30" t="s">
        <v>245</v>
      </c>
      <c r="V240" s="30" t="s">
        <v>245</v>
      </c>
      <c r="W240" s="30" t="s">
        <v>245</v>
      </c>
      <c r="X240" s="30" t="s">
        <v>245</v>
      </c>
      <c r="Y240" s="30" t="s">
        <v>245</v>
      </c>
      <c r="Z240" s="30" t="s">
        <v>245</v>
      </c>
      <c r="AA240" s="30" t="s">
        <v>2134</v>
      </c>
      <c r="AB240" s="30" t="s">
        <v>2135</v>
      </c>
      <c r="AC240" s="30" t="s">
        <v>245</v>
      </c>
      <c r="AD240" s="30" t="s">
        <v>245</v>
      </c>
      <c r="AE240" s="30" t="s">
        <v>245</v>
      </c>
      <c r="AF240" s="30" t="s">
        <v>245</v>
      </c>
      <c r="AG240" s="30" t="s">
        <v>245</v>
      </c>
      <c r="AH240" s="30" t="s">
        <v>245</v>
      </c>
      <c r="AI240" s="30" t="s">
        <v>245</v>
      </c>
      <c r="AJ240" s="30" t="s">
        <v>245</v>
      </c>
      <c r="AK240" s="30" t="s">
        <v>245</v>
      </c>
      <c r="AL240" s="30" t="s">
        <v>245</v>
      </c>
      <c r="AM240" s="30" t="s">
        <v>245</v>
      </c>
      <c r="AN240" s="30" t="s">
        <v>245</v>
      </c>
      <c r="AO240" s="30" t="s">
        <v>251</v>
      </c>
      <c r="AP240" s="30" t="s">
        <v>245</v>
      </c>
      <c r="AQ240" s="30" t="s">
        <v>245</v>
      </c>
      <c r="AR240" s="30" t="s">
        <v>245</v>
      </c>
      <c r="AS240" s="30" t="s">
        <v>245</v>
      </c>
      <c r="AT240" s="30" t="s">
        <v>245</v>
      </c>
      <c r="AU240" s="30">
        <v>2007</v>
      </c>
      <c r="AV240" s="30">
        <v>38</v>
      </c>
      <c r="AW240" s="30" t="s">
        <v>436</v>
      </c>
      <c r="AX240" s="30" t="s">
        <v>245</v>
      </c>
      <c r="AY240" s="30" t="s">
        <v>245</v>
      </c>
      <c r="AZ240" s="30" t="s">
        <v>245</v>
      </c>
      <c r="BA240" s="30" t="s">
        <v>245</v>
      </c>
      <c r="BB240" s="30">
        <v>189</v>
      </c>
      <c r="BC240" s="30">
        <v>204</v>
      </c>
      <c r="BD240" s="30" t="s">
        <v>245</v>
      </c>
      <c r="BE240" s="30" t="s">
        <v>2136</v>
      </c>
      <c r="BF240" s="30" t="str">
        <f>HYPERLINK("http://dx.doi.org/10.1080/00103620601094122","http://dx.doi.org/10.1080/00103620601094122")</f>
        <v>http://dx.doi.org/10.1080/00103620601094122</v>
      </c>
      <c r="BG240" s="30" t="s">
        <v>245</v>
      </c>
      <c r="BH240" s="30" t="s">
        <v>245</v>
      </c>
      <c r="BI240" s="30" t="s">
        <v>245</v>
      </c>
      <c r="BJ240" s="30" t="s">
        <v>245</v>
      </c>
      <c r="BK240" s="30" t="s">
        <v>245</v>
      </c>
      <c r="BL240" s="30" t="s">
        <v>245</v>
      </c>
      <c r="BM240" s="30" t="s">
        <v>245</v>
      </c>
      <c r="BN240" s="30" t="s">
        <v>245</v>
      </c>
      <c r="BO240" s="30" t="s">
        <v>245</v>
      </c>
      <c r="BP240" s="30" t="s">
        <v>245</v>
      </c>
      <c r="BQ240" s="30" t="s">
        <v>245</v>
      </c>
      <c r="BR240" s="30" t="s">
        <v>245</v>
      </c>
      <c r="BS240" s="30" t="s">
        <v>2137</v>
      </c>
      <c r="BT240" s="30" t="str">
        <f>HYPERLINK("https%3A%2F%2Fwww.webofscience.com%2Fwos%2Fwoscc%2Ffull-record%2FWOS:000244360400014","View Full Record in Web of Science")</f>
        <v>View Full Record in Web of Science</v>
      </c>
    </row>
    <row r="241" spans="1:72" x14ac:dyDescent="0.2">
      <c r="A241" s="30" t="s">
        <v>243</v>
      </c>
      <c r="B241" s="30" t="s">
        <v>2138</v>
      </c>
      <c r="C241" s="30" t="s">
        <v>245</v>
      </c>
      <c r="D241" s="30" t="s">
        <v>245</v>
      </c>
      <c r="E241" s="30" t="s">
        <v>245</v>
      </c>
      <c r="F241" s="30" t="s">
        <v>2139</v>
      </c>
      <c r="G241" s="30" t="s">
        <v>245</v>
      </c>
      <c r="H241" s="30" t="s">
        <v>245</v>
      </c>
      <c r="I241" s="30" t="s">
        <v>2140</v>
      </c>
      <c r="J241" s="30" t="s">
        <v>1092</v>
      </c>
      <c r="K241" s="30" t="s">
        <v>245</v>
      </c>
      <c r="L241" s="30" t="s">
        <v>245</v>
      </c>
      <c r="M241" s="30" t="s">
        <v>245</v>
      </c>
      <c r="N241" s="30" t="s">
        <v>245</v>
      </c>
      <c r="O241" s="30" t="s">
        <v>245</v>
      </c>
      <c r="P241" s="30" t="s">
        <v>245</v>
      </c>
      <c r="Q241" s="30" t="s">
        <v>245</v>
      </c>
      <c r="R241" s="30" t="s">
        <v>245</v>
      </c>
      <c r="S241" s="30" t="s">
        <v>245</v>
      </c>
      <c r="T241" s="30" t="s">
        <v>245</v>
      </c>
      <c r="U241" s="30" t="s">
        <v>245</v>
      </c>
      <c r="V241" s="30" t="s">
        <v>245</v>
      </c>
      <c r="W241" s="30" t="s">
        <v>245</v>
      </c>
      <c r="X241" s="30" t="s">
        <v>245</v>
      </c>
      <c r="Y241" s="30" t="s">
        <v>245</v>
      </c>
      <c r="Z241" s="30" t="s">
        <v>245</v>
      </c>
      <c r="AA241" s="30" t="s">
        <v>245</v>
      </c>
      <c r="AB241" s="30" t="s">
        <v>2141</v>
      </c>
      <c r="AC241" s="30" t="s">
        <v>245</v>
      </c>
      <c r="AD241" s="30" t="s">
        <v>245</v>
      </c>
      <c r="AE241" s="30" t="s">
        <v>245</v>
      </c>
      <c r="AF241" s="30" t="s">
        <v>245</v>
      </c>
      <c r="AG241" s="30" t="s">
        <v>245</v>
      </c>
      <c r="AH241" s="30" t="s">
        <v>245</v>
      </c>
      <c r="AI241" s="30" t="s">
        <v>245</v>
      </c>
      <c r="AJ241" s="30" t="s">
        <v>245</v>
      </c>
      <c r="AK241" s="30" t="s">
        <v>245</v>
      </c>
      <c r="AL241" s="30" t="s">
        <v>245</v>
      </c>
      <c r="AM241" s="30" t="s">
        <v>245</v>
      </c>
      <c r="AN241" s="30" t="s">
        <v>245</v>
      </c>
      <c r="AO241" s="30" t="s">
        <v>1095</v>
      </c>
      <c r="AP241" s="30" t="s">
        <v>1096</v>
      </c>
      <c r="AQ241" s="30" t="s">
        <v>245</v>
      </c>
      <c r="AR241" s="30" t="s">
        <v>245</v>
      </c>
      <c r="AS241" s="30" t="s">
        <v>245</v>
      </c>
      <c r="AT241" s="30" t="s">
        <v>575</v>
      </c>
      <c r="AU241" s="30">
        <v>2019</v>
      </c>
      <c r="AV241" s="30">
        <v>111</v>
      </c>
      <c r="AW241" s="30">
        <v>2</v>
      </c>
      <c r="AX241" s="30" t="s">
        <v>245</v>
      </c>
      <c r="AY241" s="30" t="s">
        <v>245</v>
      </c>
      <c r="AZ241" s="30" t="s">
        <v>245</v>
      </c>
      <c r="BA241" s="30" t="s">
        <v>245</v>
      </c>
      <c r="BB241" s="30">
        <v>473</v>
      </c>
      <c r="BC241" s="30">
        <v>481</v>
      </c>
      <c r="BD241" s="30" t="s">
        <v>245</v>
      </c>
      <c r="BE241" s="30" t="s">
        <v>2142</v>
      </c>
      <c r="BF241" s="30" t="str">
        <f>HYPERLINK("http://dx.doi.org/10.2134/agronj2018.02.0091","http://dx.doi.org/10.2134/agronj2018.02.0091")</f>
        <v>http://dx.doi.org/10.2134/agronj2018.02.0091</v>
      </c>
      <c r="BG241" s="30" t="s">
        <v>245</v>
      </c>
      <c r="BH241" s="30" t="s">
        <v>245</v>
      </c>
      <c r="BI241" s="30" t="s">
        <v>245</v>
      </c>
      <c r="BJ241" s="30" t="s">
        <v>245</v>
      </c>
      <c r="BK241" s="30" t="s">
        <v>245</v>
      </c>
      <c r="BL241" s="30" t="s">
        <v>245</v>
      </c>
      <c r="BM241" s="30" t="s">
        <v>245</v>
      </c>
      <c r="BN241" s="30" t="s">
        <v>245</v>
      </c>
      <c r="BO241" s="30" t="s">
        <v>245</v>
      </c>
      <c r="BP241" s="30" t="s">
        <v>245</v>
      </c>
      <c r="BQ241" s="30" t="s">
        <v>245</v>
      </c>
      <c r="BR241" s="30" t="s">
        <v>245</v>
      </c>
      <c r="BS241" s="30" t="s">
        <v>2143</v>
      </c>
      <c r="BT241" s="30" t="str">
        <f>HYPERLINK("https%3A%2F%2Fwww.webofscience.com%2Fwos%2Fwoscc%2Ffull-record%2FWOS:000462738100002","View Full Record in Web of Science")</f>
        <v>View Full Record in Web of Science</v>
      </c>
    </row>
    <row r="242" spans="1:72" x14ac:dyDescent="0.2">
      <c r="A242" s="30" t="s">
        <v>243</v>
      </c>
      <c r="B242" s="30" t="s">
        <v>2144</v>
      </c>
      <c r="C242" s="30" t="s">
        <v>245</v>
      </c>
      <c r="D242" s="30" t="s">
        <v>245</v>
      </c>
      <c r="E242" s="30" t="s">
        <v>245</v>
      </c>
      <c r="F242" s="30" t="s">
        <v>2145</v>
      </c>
      <c r="G242" s="30" t="s">
        <v>245</v>
      </c>
      <c r="H242" s="30" t="s">
        <v>245</v>
      </c>
      <c r="I242" s="30" t="s">
        <v>2146</v>
      </c>
      <c r="J242" s="30" t="s">
        <v>413</v>
      </c>
      <c r="K242" s="30" t="s">
        <v>245</v>
      </c>
      <c r="L242" s="30" t="s">
        <v>245</v>
      </c>
      <c r="M242" s="30" t="s">
        <v>245</v>
      </c>
      <c r="N242" s="30" t="s">
        <v>245</v>
      </c>
      <c r="O242" s="30" t="s">
        <v>245</v>
      </c>
      <c r="P242" s="30" t="s">
        <v>245</v>
      </c>
      <c r="Q242" s="30" t="s">
        <v>245</v>
      </c>
      <c r="R242" s="30" t="s">
        <v>245</v>
      </c>
      <c r="S242" s="30" t="s">
        <v>245</v>
      </c>
      <c r="T242" s="30" t="s">
        <v>245</v>
      </c>
      <c r="U242" s="30" t="s">
        <v>245</v>
      </c>
      <c r="V242" s="30" t="s">
        <v>245</v>
      </c>
      <c r="W242" s="30" t="s">
        <v>245</v>
      </c>
      <c r="X242" s="30" t="s">
        <v>245</v>
      </c>
      <c r="Y242" s="30" t="s">
        <v>245</v>
      </c>
      <c r="Z242" s="30" t="s">
        <v>245</v>
      </c>
      <c r="AA242" s="30" t="s">
        <v>245</v>
      </c>
      <c r="AB242" s="30" t="s">
        <v>245</v>
      </c>
      <c r="AC242" s="30" t="s">
        <v>245</v>
      </c>
      <c r="AD242" s="30" t="s">
        <v>245</v>
      </c>
      <c r="AE242" s="30" t="s">
        <v>245</v>
      </c>
      <c r="AF242" s="30" t="s">
        <v>245</v>
      </c>
      <c r="AG242" s="30" t="s">
        <v>245</v>
      </c>
      <c r="AH242" s="30" t="s">
        <v>245</v>
      </c>
      <c r="AI242" s="30" t="s">
        <v>245</v>
      </c>
      <c r="AJ242" s="30" t="s">
        <v>245</v>
      </c>
      <c r="AK242" s="30" t="s">
        <v>245</v>
      </c>
      <c r="AL242" s="30" t="s">
        <v>245</v>
      </c>
      <c r="AM242" s="30" t="s">
        <v>245</v>
      </c>
      <c r="AN242" s="30" t="s">
        <v>245</v>
      </c>
      <c r="AO242" s="30" t="s">
        <v>416</v>
      </c>
      <c r="AP242" s="30" t="s">
        <v>417</v>
      </c>
      <c r="AQ242" s="30" t="s">
        <v>245</v>
      </c>
      <c r="AR242" s="30" t="s">
        <v>245</v>
      </c>
      <c r="AS242" s="30" t="s">
        <v>245</v>
      </c>
      <c r="AT242" s="30" t="s">
        <v>1105</v>
      </c>
      <c r="AU242" s="30">
        <v>2022</v>
      </c>
      <c r="AV242" s="30">
        <v>804</v>
      </c>
      <c r="AW242" s="30" t="s">
        <v>245</v>
      </c>
      <c r="AX242" s="30" t="s">
        <v>245</v>
      </c>
      <c r="AY242" s="30" t="s">
        <v>245</v>
      </c>
      <c r="AZ242" s="30" t="s">
        <v>245</v>
      </c>
      <c r="BA242" s="30" t="s">
        <v>245</v>
      </c>
      <c r="BB242" s="30" t="s">
        <v>245</v>
      </c>
      <c r="BC242" s="30" t="s">
        <v>245</v>
      </c>
      <c r="BD242" s="30">
        <v>150246</v>
      </c>
      <c r="BE242" s="30" t="s">
        <v>2147</v>
      </c>
      <c r="BF242" s="30" t="str">
        <f>HYPERLINK("http://dx.doi.org/10.1016/j.scitotenv.2021.150246","http://dx.doi.org/10.1016/j.scitotenv.2021.150246")</f>
        <v>http://dx.doi.org/10.1016/j.scitotenv.2021.150246</v>
      </c>
      <c r="BG242" s="30" t="s">
        <v>245</v>
      </c>
      <c r="BH242" s="30" t="s">
        <v>564</v>
      </c>
      <c r="BI242" s="30" t="s">
        <v>245</v>
      </c>
      <c r="BJ242" s="30" t="s">
        <v>245</v>
      </c>
      <c r="BK242" s="30" t="s">
        <v>245</v>
      </c>
      <c r="BL242" s="30" t="s">
        <v>245</v>
      </c>
      <c r="BM242" s="30" t="s">
        <v>245</v>
      </c>
      <c r="BN242" s="30">
        <v>34798753</v>
      </c>
      <c r="BO242" s="30" t="s">
        <v>245</v>
      </c>
      <c r="BP242" s="30" t="s">
        <v>245</v>
      </c>
      <c r="BQ242" s="30" t="s">
        <v>245</v>
      </c>
      <c r="BR242" s="30" t="s">
        <v>245</v>
      </c>
      <c r="BS242" s="30" t="s">
        <v>2148</v>
      </c>
      <c r="BT242" s="30" t="str">
        <f>HYPERLINK("https%3A%2F%2Fwww.webofscience.com%2Fwos%2Fwoscc%2Ffull-record%2FWOS:000704389800015","View Full Record in Web of Science")</f>
        <v>View Full Record in Web of Science</v>
      </c>
    </row>
    <row r="243" spans="1:72" x14ac:dyDescent="0.2">
      <c r="A243" s="30" t="s">
        <v>243</v>
      </c>
      <c r="B243" s="30" t="s">
        <v>2149</v>
      </c>
      <c r="C243" s="30" t="s">
        <v>245</v>
      </c>
      <c r="D243" s="30" t="s">
        <v>245</v>
      </c>
      <c r="E243" s="30" t="s">
        <v>245</v>
      </c>
      <c r="F243" s="30" t="s">
        <v>2150</v>
      </c>
      <c r="G243" s="30" t="s">
        <v>245</v>
      </c>
      <c r="H243" s="30" t="s">
        <v>245</v>
      </c>
      <c r="I243" s="30" t="s">
        <v>2151</v>
      </c>
      <c r="J243" s="30" t="s">
        <v>501</v>
      </c>
      <c r="K243" s="30" t="s">
        <v>245</v>
      </c>
      <c r="L243" s="30" t="s">
        <v>245</v>
      </c>
      <c r="M243" s="30" t="s">
        <v>245</v>
      </c>
      <c r="N243" s="30" t="s">
        <v>245</v>
      </c>
      <c r="O243" s="30" t="s">
        <v>245</v>
      </c>
      <c r="P243" s="30" t="s">
        <v>245</v>
      </c>
      <c r="Q243" s="30" t="s">
        <v>245</v>
      </c>
      <c r="R243" s="30" t="s">
        <v>245</v>
      </c>
      <c r="S243" s="30" t="s">
        <v>245</v>
      </c>
      <c r="T243" s="30" t="s">
        <v>245</v>
      </c>
      <c r="U243" s="30" t="s">
        <v>245</v>
      </c>
      <c r="V243" s="30" t="s">
        <v>245</v>
      </c>
      <c r="W243" s="30" t="s">
        <v>245</v>
      </c>
      <c r="X243" s="30" t="s">
        <v>245</v>
      </c>
      <c r="Y243" s="30" t="s">
        <v>245</v>
      </c>
      <c r="Z243" s="30" t="s">
        <v>245</v>
      </c>
      <c r="AA243" s="30" t="s">
        <v>2152</v>
      </c>
      <c r="AB243" s="30" t="s">
        <v>2153</v>
      </c>
      <c r="AC243" s="30" t="s">
        <v>245</v>
      </c>
      <c r="AD243" s="30" t="s">
        <v>245</v>
      </c>
      <c r="AE243" s="30" t="s">
        <v>245</v>
      </c>
      <c r="AF243" s="30" t="s">
        <v>245</v>
      </c>
      <c r="AG243" s="30" t="s">
        <v>245</v>
      </c>
      <c r="AH243" s="30" t="s">
        <v>245</v>
      </c>
      <c r="AI243" s="30" t="s">
        <v>245</v>
      </c>
      <c r="AJ243" s="30" t="s">
        <v>245</v>
      </c>
      <c r="AK243" s="30" t="s">
        <v>245</v>
      </c>
      <c r="AL243" s="30" t="s">
        <v>245</v>
      </c>
      <c r="AM243" s="30" t="s">
        <v>245</v>
      </c>
      <c r="AN243" s="30" t="s">
        <v>245</v>
      </c>
      <c r="AO243" s="30" t="s">
        <v>504</v>
      </c>
      <c r="AP243" s="30" t="s">
        <v>505</v>
      </c>
      <c r="AQ243" s="30" t="s">
        <v>245</v>
      </c>
      <c r="AR243" s="30" t="s">
        <v>245</v>
      </c>
      <c r="AS243" s="30" t="s">
        <v>245</v>
      </c>
      <c r="AT243" s="30" t="s">
        <v>265</v>
      </c>
      <c r="AU243" s="30">
        <v>2014</v>
      </c>
      <c r="AV243" s="30">
        <v>78</v>
      </c>
      <c r="AW243" s="30" t="s">
        <v>245</v>
      </c>
      <c r="AX243" s="30" t="s">
        <v>245</v>
      </c>
      <c r="AY243" s="30" t="s">
        <v>245</v>
      </c>
      <c r="AZ243" s="30" t="s">
        <v>245</v>
      </c>
      <c r="BA243" s="30" t="s">
        <v>245</v>
      </c>
      <c r="BB243" s="30">
        <v>1</v>
      </c>
      <c r="BC243" s="30">
        <v>10</v>
      </c>
      <c r="BD243" s="30" t="s">
        <v>245</v>
      </c>
      <c r="BE243" s="30" t="s">
        <v>2154</v>
      </c>
      <c r="BF243" s="30" t="str">
        <f>HYPERLINK("http://dx.doi.org/10.1016/j.apsoil.2014.01.012","http://dx.doi.org/10.1016/j.apsoil.2014.01.012")</f>
        <v>http://dx.doi.org/10.1016/j.apsoil.2014.01.012</v>
      </c>
      <c r="BG243" s="30" t="s">
        <v>245</v>
      </c>
      <c r="BH243" s="30" t="s">
        <v>245</v>
      </c>
      <c r="BI243" s="30" t="s">
        <v>245</v>
      </c>
      <c r="BJ243" s="30" t="s">
        <v>245</v>
      </c>
      <c r="BK243" s="30" t="s">
        <v>245</v>
      </c>
      <c r="BL243" s="30" t="s">
        <v>245</v>
      </c>
      <c r="BM243" s="30" t="s">
        <v>245</v>
      </c>
      <c r="BN243" s="30" t="s">
        <v>245</v>
      </c>
      <c r="BO243" s="30" t="s">
        <v>245</v>
      </c>
      <c r="BP243" s="30" t="s">
        <v>245</v>
      </c>
      <c r="BQ243" s="30" t="s">
        <v>245</v>
      </c>
      <c r="BR243" s="30" t="s">
        <v>245</v>
      </c>
      <c r="BS243" s="30" t="s">
        <v>2155</v>
      </c>
      <c r="BT243" s="30" t="str">
        <f>HYPERLINK("https%3A%2F%2Fwww.webofscience.com%2Fwos%2Fwoscc%2Ffull-record%2FWOS:000335732500001","View Full Record in Web of Science")</f>
        <v>View Full Record in Web of Science</v>
      </c>
    </row>
    <row r="244" spans="1:72" x14ac:dyDescent="0.2">
      <c r="A244" s="30" t="s">
        <v>243</v>
      </c>
      <c r="B244" s="30" t="s">
        <v>2156</v>
      </c>
      <c r="C244" s="30" t="s">
        <v>245</v>
      </c>
      <c r="D244" s="30" t="s">
        <v>245</v>
      </c>
      <c r="E244" s="30" t="s">
        <v>245</v>
      </c>
      <c r="F244" s="30" t="s">
        <v>2157</v>
      </c>
      <c r="G244" s="30" t="s">
        <v>245</v>
      </c>
      <c r="H244" s="30" t="s">
        <v>245</v>
      </c>
      <c r="I244" s="30" t="s">
        <v>2158</v>
      </c>
      <c r="J244" s="30" t="s">
        <v>1288</v>
      </c>
      <c r="K244" s="30" t="s">
        <v>245</v>
      </c>
      <c r="L244" s="30" t="s">
        <v>245</v>
      </c>
      <c r="M244" s="30" t="s">
        <v>245</v>
      </c>
      <c r="N244" s="30" t="s">
        <v>245</v>
      </c>
      <c r="O244" s="30" t="s">
        <v>245</v>
      </c>
      <c r="P244" s="30" t="s">
        <v>245</v>
      </c>
      <c r="Q244" s="30" t="s">
        <v>245</v>
      </c>
      <c r="R244" s="30" t="s">
        <v>245</v>
      </c>
      <c r="S244" s="30" t="s">
        <v>245</v>
      </c>
      <c r="T244" s="30" t="s">
        <v>245</v>
      </c>
      <c r="U244" s="30" t="s">
        <v>245</v>
      </c>
      <c r="V244" s="30" t="s">
        <v>245</v>
      </c>
      <c r="W244" s="30" t="s">
        <v>245</v>
      </c>
      <c r="X244" s="30" t="s">
        <v>245</v>
      </c>
      <c r="Y244" s="30" t="s">
        <v>245</v>
      </c>
      <c r="Z244" s="30" t="s">
        <v>245</v>
      </c>
      <c r="AA244" s="30" t="s">
        <v>2159</v>
      </c>
      <c r="AB244" s="30" t="s">
        <v>2160</v>
      </c>
      <c r="AC244" s="30" t="s">
        <v>245</v>
      </c>
      <c r="AD244" s="30" t="s">
        <v>245</v>
      </c>
      <c r="AE244" s="30" t="s">
        <v>245</v>
      </c>
      <c r="AF244" s="30" t="s">
        <v>245</v>
      </c>
      <c r="AG244" s="30" t="s">
        <v>245</v>
      </c>
      <c r="AH244" s="30" t="s">
        <v>245</v>
      </c>
      <c r="AI244" s="30" t="s">
        <v>245</v>
      </c>
      <c r="AJ244" s="30" t="s">
        <v>245</v>
      </c>
      <c r="AK244" s="30" t="s">
        <v>245</v>
      </c>
      <c r="AL244" s="30" t="s">
        <v>245</v>
      </c>
      <c r="AM244" s="30" t="s">
        <v>245</v>
      </c>
      <c r="AN244" s="30" t="s">
        <v>245</v>
      </c>
      <c r="AO244" s="30" t="s">
        <v>1291</v>
      </c>
      <c r="AP244" s="30" t="s">
        <v>1292</v>
      </c>
      <c r="AQ244" s="30" t="s">
        <v>245</v>
      </c>
      <c r="AR244" s="30" t="s">
        <v>245</v>
      </c>
      <c r="AS244" s="30" t="s">
        <v>245</v>
      </c>
      <c r="AT244" s="30" t="s">
        <v>487</v>
      </c>
      <c r="AU244" s="30">
        <v>2022</v>
      </c>
      <c r="AV244" s="30">
        <v>158</v>
      </c>
      <c r="AW244" s="30" t="s">
        <v>245</v>
      </c>
      <c r="AX244" s="30" t="s">
        <v>245</v>
      </c>
      <c r="AY244" s="30" t="s">
        <v>245</v>
      </c>
      <c r="AZ244" s="30" t="s">
        <v>245</v>
      </c>
      <c r="BA244" s="30" t="s">
        <v>245</v>
      </c>
      <c r="BB244" s="30" t="s">
        <v>245</v>
      </c>
      <c r="BC244" s="30" t="s">
        <v>245</v>
      </c>
      <c r="BD244" s="30">
        <v>106342</v>
      </c>
      <c r="BE244" s="30" t="s">
        <v>2161</v>
      </c>
      <c r="BF244" s="30" t="str">
        <f>HYPERLINK("http://dx.doi.org/10.1016/j.biombioe.2022.106342","http://dx.doi.org/10.1016/j.biombioe.2022.106342")</f>
        <v>http://dx.doi.org/10.1016/j.biombioe.2022.106342</v>
      </c>
      <c r="BG244" s="30" t="s">
        <v>245</v>
      </c>
      <c r="BH244" s="30" t="s">
        <v>1314</v>
      </c>
      <c r="BI244" s="30" t="s">
        <v>245</v>
      </c>
      <c r="BJ244" s="30" t="s">
        <v>245</v>
      </c>
      <c r="BK244" s="30" t="s">
        <v>245</v>
      </c>
      <c r="BL244" s="30" t="s">
        <v>245</v>
      </c>
      <c r="BM244" s="30" t="s">
        <v>245</v>
      </c>
      <c r="BN244" s="30" t="s">
        <v>245</v>
      </c>
      <c r="BO244" s="30" t="s">
        <v>245</v>
      </c>
      <c r="BP244" s="30" t="s">
        <v>245</v>
      </c>
      <c r="BQ244" s="30" t="s">
        <v>245</v>
      </c>
      <c r="BR244" s="30" t="s">
        <v>245</v>
      </c>
      <c r="BS244" s="30" t="s">
        <v>2162</v>
      </c>
      <c r="BT244" s="30" t="str">
        <f>HYPERLINK("https%3A%2F%2Fwww.webofscience.com%2Fwos%2Fwoscc%2Ffull-record%2FWOS:000788727500002","View Full Record in Web of Science")</f>
        <v>View Full Record in Web of Science</v>
      </c>
    </row>
    <row r="245" spans="1:72" x14ac:dyDescent="0.2">
      <c r="A245" s="30" t="s">
        <v>243</v>
      </c>
      <c r="B245" s="30" t="s">
        <v>2163</v>
      </c>
      <c r="C245" s="30" t="s">
        <v>245</v>
      </c>
      <c r="D245" s="30" t="s">
        <v>245</v>
      </c>
      <c r="E245" s="30" t="s">
        <v>245</v>
      </c>
      <c r="F245" s="30" t="s">
        <v>2164</v>
      </c>
      <c r="G245" s="30" t="s">
        <v>245</v>
      </c>
      <c r="H245" s="30" t="s">
        <v>245</v>
      </c>
      <c r="I245" s="30" t="s">
        <v>2165</v>
      </c>
      <c r="J245" s="30" t="s">
        <v>282</v>
      </c>
      <c r="K245" s="30" t="s">
        <v>245</v>
      </c>
      <c r="L245" s="30" t="s">
        <v>245</v>
      </c>
      <c r="M245" s="30" t="s">
        <v>245</v>
      </c>
      <c r="N245" s="30" t="s">
        <v>245</v>
      </c>
      <c r="O245" s="30" t="s">
        <v>245</v>
      </c>
      <c r="P245" s="30" t="s">
        <v>245</v>
      </c>
      <c r="Q245" s="30" t="s">
        <v>245</v>
      </c>
      <c r="R245" s="30" t="s">
        <v>245</v>
      </c>
      <c r="S245" s="30" t="s">
        <v>245</v>
      </c>
      <c r="T245" s="30" t="s">
        <v>245</v>
      </c>
      <c r="U245" s="30" t="s">
        <v>245</v>
      </c>
      <c r="V245" s="30" t="s">
        <v>245</v>
      </c>
      <c r="W245" s="30" t="s">
        <v>245</v>
      </c>
      <c r="X245" s="30" t="s">
        <v>245</v>
      </c>
      <c r="Y245" s="30" t="s">
        <v>245</v>
      </c>
      <c r="Z245" s="30" t="s">
        <v>245</v>
      </c>
      <c r="AA245" s="30" t="s">
        <v>2166</v>
      </c>
      <c r="AB245" s="30" t="s">
        <v>245</v>
      </c>
      <c r="AC245" s="30" t="s">
        <v>245</v>
      </c>
      <c r="AD245" s="30" t="s">
        <v>245</v>
      </c>
      <c r="AE245" s="30" t="s">
        <v>245</v>
      </c>
      <c r="AF245" s="30" t="s">
        <v>245</v>
      </c>
      <c r="AG245" s="30" t="s">
        <v>245</v>
      </c>
      <c r="AH245" s="30" t="s">
        <v>245</v>
      </c>
      <c r="AI245" s="30" t="s">
        <v>245</v>
      </c>
      <c r="AJ245" s="30" t="s">
        <v>245</v>
      </c>
      <c r="AK245" s="30" t="s">
        <v>245</v>
      </c>
      <c r="AL245" s="30" t="s">
        <v>245</v>
      </c>
      <c r="AM245" s="30" t="s">
        <v>245</v>
      </c>
      <c r="AN245" s="30" t="s">
        <v>245</v>
      </c>
      <c r="AO245" s="30" t="s">
        <v>285</v>
      </c>
      <c r="AP245" s="30" t="s">
        <v>245</v>
      </c>
      <c r="AQ245" s="30" t="s">
        <v>245</v>
      </c>
      <c r="AR245" s="30" t="s">
        <v>245</v>
      </c>
      <c r="AS245" s="30" t="s">
        <v>245</v>
      </c>
      <c r="AT245" s="30" t="s">
        <v>535</v>
      </c>
      <c r="AU245" s="30">
        <v>2009</v>
      </c>
      <c r="AV245" s="30">
        <v>41</v>
      </c>
      <c r="AW245" s="30">
        <v>8</v>
      </c>
      <c r="AX245" s="30" t="s">
        <v>245</v>
      </c>
      <c r="AY245" s="30" t="s">
        <v>245</v>
      </c>
      <c r="AZ245" s="30" t="s">
        <v>245</v>
      </c>
      <c r="BA245" s="30" t="s">
        <v>245</v>
      </c>
      <c r="BB245" s="30">
        <v>1726</v>
      </c>
      <c r="BC245" s="30">
        <v>1733</v>
      </c>
      <c r="BD245" s="30" t="s">
        <v>245</v>
      </c>
      <c r="BE245" s="30" t="s">
        <v>2167</v>
      </c>
      <c r="BF245" s="30" t="str">
        <f>HYPERLINK("http://dx.doi.org/10.1016/j.soilbio.2009.06.001","http://dx.doi.org/10.1016/j.soilbio.2009.06.001")</f>
        <v>http://dx.doi.org/10.1016/j.soilbio.2009.06.001</v>
      </c>
      <c r="BG245" s="30" t="s">
        <v>245</v>
      </c>
      <c r="BH245" s="30" t="s">
        <v>245</v>
      </c>
      <c r="BI245" s="30" t="s">
        <v>245</v>
      </c>
      <c r="BJ245" s="30" t="s">
        <v>245</v>
      </c>
      <c r="BK245" s="30" t="s">
        <v>245</v>
      </c>
      <c r="BL245" s="30" t="s">
        <v>245</v>
      </c>
      <c r="BM245" s="30" t="s">
        <v>245</v>
      </c>
      <c r="BN245" s="30" t="s">
        <v>245</v>
      </c>
      <c r="BO245" s="30" t="s">
        <v>245</v>
      </c>
      <c r="BP245" s="30" t="s">
        <v>245</v>
      </c>
      <c r="BQ245" s="30" t="s">
        <v>245</v>
      </c>
      <c r="BR245" s="30" t="s">
        <v>245</v>
      </c>
      <c r="BS245" s="30" t="s">
        <v>2168</v>
      </c>
      <c r="BT245" s="30" t="str">
        <f>HYPERLINK("https%3A%2F%2Fwww.webofscience.com%2Fwos%2Fwoscc%2Ffull-record%2FWOS:000268920400018","View Full Record in Web of Science")</f>
        <v>View Full Record in Web of Science</v>
      </c>
    </row>
    <row r="246" spans="1:72" x14ac:dyDescent="0.2">
      <c r="A246" s="30" t="s">
        <v>243</v>
      </c>
      <c r="B246" s="30" t="s">
        <v>2169</v>
      </c>
      <c r="C246" s="30" t="s">
        <v>245</v>
      </c>
      <c r="D246" s="30" t="s">
        <v>245</v>
      </c>
      <c r="E246" s="30" t="s">
        <v>245</v>
      </c>
      <c r="F246" s="30" t="s">
        <v>2170</v>
      </c>
      <c r="G246" s="30" t="s">
        <v>245</v>
      </c>
      <c r="H246" s="30" t="s">
        <v>245</v>
      </c>
      <c r="I246" s="30" t="s">
        <v>2171</v>
      </c>
      <c r="J246" s="30" t="s">
        <v>2172</v>
      </c>
      <c r="K246" s="30" t="s">
        <v>245</v>
      </c>
      <c r="L246" s="30" t="s">
        <v>245</v>
      </c>
      <c r="M246" s="30" t="s">
        <v>245</v>
      </c>
      <c r="N246" s="30" t="s">
        <v>245</v>
      </c>
      <c r="O246" s="30" t="s">
        <v>245</v>
      </c>
      <c r="P246" s="30" t="s">
        <v>245</v>
      </c>
      <c r="Q246" s="30" t="s">
        <v>245</v>
      </c>
      <c r="R246" s="30" t="s">
        <v>245</v>
      </c>
      <c r="S246" s="30" t="s">
        <v>245</v>
      </c>
      <c r="T246" s="30" t="s">
        <v>245</v>
      </c>
      <c r="U246" s="30" t="s">
        <v>245</v>
      </c>
      <c r="V246" s="30" t="s">
        <v>245</v>
      </c>
      <c r="W246" s="30" t="s">
        <v>245</v>
      </c>
      <c r="X246" s="30" t="s">
        <v>245</v>
      </c>
      <c r="Y246" s="30" t="s">
        <v>245</v>
      </c>
      <c r="Z246" s="30" t="s">
        <v>245</v>
      </c>
      <c r="AA246" s="30" t="s">
        <v>2173</v>
      </c>
      <c r="AB246" s="30" t="s">
        <v>2174</v>
      </c>
      <c r="AC246" s="30" t="s">
        <v>245</v>
      </c>
      <c r="AD246" s="30" t="s">
        <v>245</v>
      </c>
      <c r="AE246" s="30" t="s">
        <v>245</v>
      </c>
      <c r="AF246" s="30" t="s">
        <v>245</v>
      </c>
      <c r="AG246" s="30" t="s">
        <v>245</v>
      </c>
      <c r="AH246" s="30" t="s">
        <v>245</v>
      </c>
      <c r="AI246" s="30" t="s">
        <v>245</v>
      </c>
      <c r="AJ246" s="30" t="s">
        <v>245</v>
      </c>
      <c r="AK246" s="30" t="s">
        <v>245</v>
      </c>
      <c r="AL246" s="30" t="s">
        <v>245</v>
      </c>
      <c r="AM246" s="30" t="s">
        <v>245</v>
      </c>
      <c r="AN246" s="30" t="s">
        <v>245</v>
      </c>
      <c r="AO246" s="30" t="s">
        <v>245</v>
      </c>
      <c r="AP246" s="30" t="s">
        <v>2175</v>
      </c>
      <c r="AQ246" s="30" t="s">
        <v>245</v>
      </c>
      <c r="AR246" s="30" t="s">
        <v>245</v>
      </c>
      <c r="AS246" s="30" t="s">
        <v>245</v>
      </c>
      <c r="AT246" s="30" t="s">
        <v>646</v>
      </c>
      <c r="AU246" s="30">
        <v>2021</v>
      </c>
      <c r="AV246" s="30">
        <v>13</v>
      </c>
      <c r="AW246" s="30">
        <v>13</v>
      </c>
      <c r="AX246" s="30" t="s">
        <v>245</v>
      </c>
      <c r="AY246" s="30" t="s">
        <v>245</v>
      </c>
      <c r="AZ246" s="30" t="s">
        <v>245</v>
      </c>
      <c r="BA246" s="30" t="s">
        <v>245</v>
      </c>
      <c r="BB246" s="30" t="s">
        <v>245</v>
      </c>
      <c r="BC246" s="30" t="s">
        <v>245</v>
      </c>
      <c r="BD246" s="30">
        <v>1867</v>
      </c>
      <c r="BE246" s="30" t="s">
        <v>2176</v>
      </c>
      <c r="BF246" s="30" t="str">
        <f>HYPERLINK("http://dx.doi.org/10.3390/w13131867","http://dx.doi.org/10.3390/w13131867")</f>
        <v>http://dx.doi.org/10.3390/w13131867</v>
      </c>
      <c r="BG246" s="30" t="s">
        <v>245</v>
      </c>
      <c r="BH246" s="30" t="s">
        <v>245</v>
      </c>
      <c r="BI246" s="30" t="s">
        <v>245</v>
      </c>
      <c r="BJ246" s="30" t="s">
        <v>245</v>
      </c>
      <c r="BK246" s="30" t="s">
        <v>245</v>
      </c>
      <c r="BL246" s="30" t="s">
        <v>245</v>
      </c>
      <c r="BM246" s="30" t="s">
        <v>245</v>
      </c>
      <c r="BN246" s="30" t="s">
        <v>245</v>
      </c>
      <c r="BO246" s="30" t="s">
        <v>245</v>
      </c>
      <c r="BP246" s="30" t="s">
        <v>245</v>
      </c>
      <c r="BQ246" s="30" t="s">
        <v>245</v>
      </c>
      <c r="BR246" s="30" t="s">
        <v>245</v>
      </c>
      <c r="BS246" s="30" t="s">
        <v>2177</v>
      </c>
      <c r="BT246" s="30" t="str">
        <f>HYPERLINK("https%3A%2F%2Fwww.webofscience.com%2Fwos%2Fwoscc%2Ffull-record%2FWOS:000671244000001","View Full Record in Web of Science")</f>
        <v>View Full Record in Web of Science</v>
      </c>
    </row>
    <row r="247" spans="1:72" x14ac:dyDescent="0.2">
      <c r="A247" s="30" t="s">
        <v>243</v>
      </c>
      <c r="B247" s="30" t="s">
        <v>2178</v>
      </c>
      <c r="C247" s="30" t="s">
        <v>245</v>
      </c>
      <c r="D247" s="30" t="s">
        <v>245</v>
      </c>
      <c r="E247" s="30" t="s">
        <v>245</v>
      </c>
      <c r="F247" s="30" t="s">
        <v>2179</v>
      </c>
      <c r="G247" s="30" t="s">
        <v>245</v>
      </c>
      <c r="H247" s="30" t="s">
        <v>245</v>
      </c>
      <c r="I247" s="30" t="s">
        <v>2180</v>
      </c>
      <c r="J247" s="30" t="s">
        <v>541</v>
      </c>
      <c r="K247" s="30" t="s">
        <v>245</v>
      </c>
      <c r="L247" s="30" t="s">
        <v>245</v>
      </c>
      <c r="M247" s="30" t="s">
        <v>245</v>
      </c>
      <c r="N247" s="30" t="s">
        <v>245</v>
      </c>
      <c r="O247" s="30" t="s">
        <v>245</v>
      </c>
      <c r="P247" s="30" t="s">
        <v>245</v>
      </c>
      <c r="Q247" s="30" t="s">
        <v>245</v>
      </c>
      <c r="R247" s="30" t="s">
        <v>245</v>
      </c>
      <c r="S247" s="30" t="s">
        <v>245</v>
      </c>
      <c r="T247" s="30" t="s">
        <v>245</v>
      </c>
      <c r="U247" s="30" t="s">
        <v>245</v>
      </c>
      <c r="V247" s="30" t="s">
        <v>245</v>
      </c>
      <c r="W247" s="30" t="s">
        <v>245</v>
      </c>
      <c r="X247" s="30" t="s">
        <v>245</v>
      </c>
      <c r="Y247" s="30" t="s">
        <v>245</v>
      </c>
      <c r="Z247" s="30" t="s">
        <v>245</v>
      </c>
      <c r="AA247" s="30" t="s">
        <v>2181</v>
      </c>
      <c r="AB247" s="30" t="s">
        <v>2182</v>
      </c>
      <c r="AC247" s="30" t="s">
        <v>245</v>
      </c>
      <c r="AD247" s="30" t="s">
        <v>245</v>
      </c>
      <c r="AE247" s="30" t="s">
        <v>245</v>
      </c>
      <c r="AF247" s="30" t="s">
        <v>245</v>
      </c>
      <c r="AG247" s="30" t="s">
        <v>245</v>
      </c>
      <c r="AH247" s="30" t="s">
        <v>245</v>
      </c>
      <c r="AI247" s="30" t="s">
        <v>245</v>
      </c>
      <c r="AJ247" s="30" t="s">
        <v>245</v>
      </c>
      <c r="AK247" s="30" t="s">
        <v>245</v>
      </c>
      <c r="AL247" s="30" t="s">
        <v>245</v>
      </c>
      <c r="AM247" s="30" t="s">
        <v>245</v>
      </c>
      <c r="AN247" s="30" t="s">
        <v>245</v>
      </c>
      <c r="AO247" s="30" t="s">
        <v>544</v>
      </c>
      <c r="AP247" s="30" t="s">
        <v>545</v>
      </c>
      <c r="AQ247" s="30" t="s">
        <v>245</v>
      </c>
      <c r="AR247" s="30" t="s">
        <v>245</v>
      </c>
      <c r="AS247" s="30" t="s">
        <v>245</v>
      </c>
      <c r="AT247" s="30" t="s">
        <v>2183</v>
      </c>
      <c r="AU247" s="30">
        <v>2018</v>
      </c>
      <c r="AV247" s="30">
        <v>259</v>
      </c>
      <c r="AW247" s="30" t="s">
        <v>245</v>
      </c>
      <c r="AX247" s="30" t="s">
        <v>245</v>
      </c>
      <c r="AY247" s="30" t="s">
        <v>245</v>
      </c>
      <c r="AZ247" s="30" t="s">
        <v>245</v>
      </c>
      <c r="BA247" s="30" t="s">
        <v>245</v>
      </c>
      <c r="BB247" s="30">
        <v>86</v>
      </c>
      <c r="BC247" s="30">
        <v>97</v>
      </c>
      <c r="BD247" s="30" t="s">
        <v>245</v>
      </c>
      <c r="BE247" s="30" t="s">
        <v>2184</v>
      </c>
      <c r="BF247" s="30" t="str">
        <f>HYPERLINK("http://dx.doi.org/10.1016/j.agee.2018.02.028","http://dx.doi.org/10.1016/j.agee.2018.02.028")</f>
        <v>http://dx.doi.org/10.1016/j.agee.2018.02.028</v>
      </c>
      <c r="BG247" s="30" t="s">
        <v>245</v>
      </c>
      <c r="BH247" s="30" t="s">
        <v>245</v>
      </c>
      <c r="BI247" s="30" t="s">
        <v>245</v>
      </c>
      <c r="BJ247" s="30" t="s">
        <v>245</v>
      </c>
      <c r="BK247" s="30" t="s">
        <v>245</v>
      </c>
      <c r="BL247" s="30" t="s">
        <v>245</v>
      </c>
      <c r="BM247" s="30" t="s">
        <v>245</v>
      </c>
      <c r="BN247" s="30" t="s">
        <v>245</v>
      </c>
      <c r="BO247" s="30" t="s">
        <v>245</v>
      </c>
      <c r="BP247" s="30" t="s">
        <v>245</v>
      </c>
      <c r="BQ247" s="30" t="s">
        <v>245</v>
      </c>
      <c r="BR247" s="30" t="s">
        <v>245</v>
      </c>
      <c r="BS247" s="30" t="s">
        <v>2185</v>
      </c>
      <c r="BT247" s="30" t="str">
        <f>HYPERLINK("https%3A%2F%2Fwww.webofscience.com%2Fwos%2Fwoscc%2Ffull-record%2FWOS:000431936200010","View Full Record in Web of Science")</f>
        <v>View Full Record in Web of Science</v>
      </c>
    </row>
    <row r="248" spans="1:72" x14ac:dyDescent="0.2">
      <c r="A248" s="30" t="s">
        <v>243</v>
      </c>
      <c r="B248" s="30" t="s">
        <v>2186</v>
      </c>
      <c r="C248" s="30" t="s">
        <v>245</v>
      </c>
      <c r="D248" s="30" t="s">
        <v>245</v>
      </c>
      <c r="E248" s="30" t="s">
        <v>245</v>
      </c>
      <c r="F248" s="30" t="s">
        <v>2187</v>
      </c>
      <c r="G248" s="30" t="s">
        <v>245</v>
      </c>
      <c r="H248" s="30" t="s">
        <v>245</v>
      </c>
      <c r="I248" s="30" t="s">
        <v>2188</v>
      </c>
      <c r="J248" s="30" t="s">
        <v>1343</v>
      </c>
      <c r="K248" s="30" t="s">
        <v>245</v>
      </c>
      <c r="L248" s="30" t="s">
        <v>245</v>
      </c>
      <c r="M248" s="30" t="s">
        <v>245</v>
      </c>
      <c r="N248" s="30" t="s">
        <v>245</v>
      </c>
      <c r="O248" s="30" t="s">
        <v>245</v>
      </c>
      <c r="P248" s="30" t="s">
        <v>245</v>
      </c>
      <c r="Q248" s="30" t="s">
        <v>245</v>
      </c>
      <c r="R248" s="30" t="s">
        <v>245</v>
      </c>
      <c r="S248" s="30" t="s">
        <v>245</v>
      </c>
      <c r="T248" s="30" t="s">
        <v>245</v>
      </c>
      <c r="U248" s="30" t="s">
        <v>245</v>
      </c>
      <c r="V248" s="30" t="s">
        <v>245</v>
      </c>
      <c r="W248" s="30" t="s">
        <v>245</v>
      </c>
      <c r="X248" s="30" t="s">
        <v>245</v>
      </c>
      <c r="Y248" s="30" t="s">
        <v>245</v>
      </c>
      <c r="Z248" s="30" t="s">
        <v>245</v>
      </c>
      <c r="AA248" s="30" t="s">
        <v>2189</v>
      </c>
      <c r="AB248" s="30" t="s">
        <v>2190</v>
      </c>
      <c r="AC248" s="30" t="s">
        <v>245</v>
      </c>
      <c r="AD248" s="30" t="s">
        <v>245</v>
      </c>
      <c r="AE248" s="30" t="s">
        <v>245</v>
      </c>
      <c r="AF248" s="30" t="s">
        <v>245</v>
      </c>
      <c r="AG248" s="30" t="s">
        <v>245</v>
      </c>
      <c r="AH248" s="30" t="s">
        <v>245</v>
      </c>
      <c r="AI248" s="30" t="s">
        <v>245</v>
      </c>
      <c r="AJ248" s="30" t="s">
        <v>245</v>
      </c>
      <c r="AK248" s="30" t="s">
        <v>245</v>
      </c>
      <c r="AL248" s="30" t="s">
        <v>245</v>
      </c>
      <c r="AM248" s="30" t="s">
        <v>245</v>
      </c>
      <c r="AN248" s="30" t="s">
        <v>245</v>
      </c>
      <c r="AO248" s="30" t="s">
        <v>245</v>
      </c>
      <c r="AP248" s="30" t="s">
        <v>1346</v>
      </c>
      <c r="AQ248" s="30" t="s">
        <v>245</v>
      </c>
      <c r="AR248" s="30" t="s">
        <v>245</v>
      </c>
      <c r="AS248" s="30" t="s">
        <v>245</v>
      </c>
      <c r="AT248" s="30" t="s">
        <v>286</v>
      </c>
      <c r="AU248" s="30">
        <v>2022</v>
      </c>
      <c r="AV248" s="30">
        <v>12</v>
      </c>
      <c r="AW248" s="30">
        <v>1</v>
      </c>
      <c r="AX248" s="30" t="s">
        <v>245</v>
      </c>
      <c r="AY248" s="30" t="s">
        <v>245</v>
      </c>
      <c r="AZ248" s="30" t="s">
        <v>245</v>
      </c>
      <c r="BA248" s="30" t="s">
        <v>245</v>
      </c>
      <c r="BB248" s="30" t="s">
        <v>245</v>
      </c>
      <c r="BC248" s="30" t="s">
        <v>245</v>
      </c>
      <c r="BD248" s="30">
        <v>341</v>
      </c>
      <c r="BE248" s="30" t="s">
        <v>2191</v>
      </c>
      <c r="BF248" s="30" t="str">
        <f>HYPERLINK("http://dx.doi.org/10.3390/app12010341","http://dx.doi.org/10.3390/app12010341")</f>
        <v>http://dx.doi.org/10.3390/app12010341</v>
      </c>
      <c r="BG248" s="30" t="s">
        <v>245</v>
      </c>
      <c r="BH248" s="30" t="s">
        <v>245</v>
      </c>
      <c r="BI248" s="30" t="s">
        <v>245</v>
      </c>
      <c r="BJ248" s="30" t="s">
        <v>245</v>
      </c>
      <c r="BK248" s="30" t="s">
        <v>245</v>
      </c>
      <c r="BL248" s="30" t="s">
        <v>245</v>
      </c>
      <c r="BM248" s="30" t="s">
        <v>245</v>
      </c>
      <c r="BN248" s="30" t="s">
        <v>245</v>
      </c>
      <c r="BO248" s="30" t="s">
        <v>245</v>
      </c>
      <c r="BP248" s="30" t="s">
        <v>245</v>
      </c>
      <c r="BQ248" s="30" t="s">
        <v>245</v>
      </c>
      <c r="BR248" s="30" t="s">
        <v>245</v>
      </c>
      <c r="BS248" s="30" t="s">
        <v>2192</v>
      </c>
      <c r="BT248" s="30" t="str">
        <f>HYPERLINK("https%3A%2F%2Fwww.webofscience.com%2Fwos%2Fwoscc%2Ffull-record%2FWOS:000751151600001","View Full Record in Web of Science")</f>
        <v>View Full Record in Web of Science</v>
      </c>
    </row>
    <row r="249" spans="1:72" x14ac:dyDescent="0.2">
      <c r="A249" s="30" t="s">
        <v>243</v>
      </c>
      <c r="B249" s="30" t="s">
        <v>2193</v>
      </c>
      <c r="C249" s="30" t="s">
        <v>245</v>
      </c>
      <c r="D249" s="30" t="s">
        <v>245</v>
      </c>
      <c r="E249" s="30" t="s">
        <v>245</v>
      </c>
      <c r="F249" s="30" t="s">
        <v>2194</v>
      </c>
      <c r="G249" s="30" t="s">
        <v>245</v>
      </c>
      <c r="H249" s="30" t="s">
        <v>245</v>
      </c>
      <c r="I249" s="30" t="s">
        <v>2195</v>
      </c>
      <c r="J249" s="30" t="s">
        <v>469</v>
      </c>
      <c r="K249" s="30" t="s">
        <v>245</v>
      </c>
      <c r="L249" s="30" t="s">
        <v>245</v>
      </c>
      <c r="M249" s="30" t="s">
        <v>245</v>
      </c>
      <c r="N249" s="30" t="s">
        <v>245</v>
      </c>
      <c r="O249" s="30" t="s">
        <v>245</v>
      </c>
      <c r="P249" s="30" t="s">
        <v>245</v>
      </c>
      <c r="Q249" s="30" t="s">
        <v>245</v>
      </c>
      <c r="R249" s="30" t="s">
        <v>245</v>
      </c>
      <c r="S249" s="30" t="s">
        <v>245</v>
      </c>
      <c r="T249" s="30" t="s">
        <v>245</v>
      </c>
      <c r="U249" s="30" t="s">
        <v>245</v>
      </c>
      <c r="V249" s="30" t="s">
        <v>245</v>
      </c>
      <c r="W249" s="30" t="s">
        <v>245</v>
      </c>
      <c r="X249" s="30" t="s">
        <v>245</v>
      </c>
      <c r="Y249" s="30" t="s">
        <v>245</v>
      </c>
      <c r="Z249" s="30" t="s">
        <v>245</v>
      </c>
      <c r="AA249" s="30" t="s">
        <v>2196</v>
      </c>
      <c r="AB249" s="30" t="s">
        <v>2197</v>
      </c>
      <c r="AC249" s="30" t="s">
        <v>245</v>
      </c>
      <c r="AD249" s="30" t="s">
        <v>245</v>
      </c>
      <c r="AE249" s="30" t="s">
        <v>245</v>
      </c>
      <c r="AF249" s="30" t="s">
        <v>245</v>
      </c>
      <c r="AG249" s="30" t="s">
        <v>245</v>
      </c>
      <c r="AH249" s="30" t="s">
        <v>245</v>
      </c>
      <c r="AI249" s="30" t="s">
        <v>245</v>
      </c>
      <c r="AJ249" s="30" t="s">
        <v>245</v>
      </c>
      <c r="AK249" s="30" t="s">
        <v>245</v>
      </c>
      <c r="AL249" s="30" t="s">
        <v>245</v>
      </c>
      <c r="AM249" s="30" t="s">
        <v>245</v>
      </c>
      <c r="AN249" s="30" t="s">
        <v>245</v>
      </c>
      <c r="AO249" s="30" t="s">
        <v>472</v>
      </c>
      <c r="AP249" s="30" t="s">
        <v>473</v>
      </c>
      <c r="AQ249" s="30" t="s">
        <v>245</v>
      </c>
      <c r="AR249" s="30" t="s">
        <v>245</v>
      </c>
      <c r="AS249" s="30" t="s">
        <v>245</v>
      </c>
      <c r="AT249" s="30" t="s">
        <v>474</v>
      </c>
      <c r="AU249" s="30">
        <v>2019</v>
      </c>
      <c r="AV249" s="30">
        <v>337</v>
      </c>
      <c r="AW249" s="30" t="s">
        <v>245</v>
      </c>
      <c r="AX249" s="30" t="s">
        <v>245</v>
      </c>
      <c r="AY249" s="30" t="s">
        <v>245</v>
      </c>
      <c r="AZ249" s="30" t="s">
        <v>245</v>
      </c>
      <c r="BA249" s="30" t="s">
        <v>245</v>
      </c>
      <c r="BB249" s="30">
        <v>132</v>
      </c>
      <c r="BC249" s="30">
        <v>142</v>
      </c>
      <c r="BD249" s="30" t="s">
        <v>245</v>
      </c>
      <c r="BE249" s="30" t="s">
        <v>2198</v>
      </c>
      <c r="BF249" s="30" t="str">
        <f>HYPERLINK("http://dx.doi.org/10.1016/j.geoderma.2018.09.019","http://dx.doi.org/10.1016/j.geoderma.2018.09.019")</f>
        <v>http://dx.doi.org/10.1016/j.geoderma.2018.09.019</v>
      </c>
      <c r="BG249" s="30" t="s">
        <v>245</v>
      </c>
      <c r="BH249" s="30" t="s">
        <v>245</v>
      </c>
      <c r="BI249" s="30" t="s">
        <v>245</v>
      </c>
      <c r="BJ249" s="30" t="s">
        <v>245</v>
      </c>
      <c r="BK249" s="30" t="s">
        <v>245</v>
      </c>
      <c r="BL249" s="30" t="s">
        <v>245</v>
      </c>
      <c r="BM249" s="30" t="s">
        <v>245</v>
      </c>
      <c r="BN249" s="30" t="s">
        <v>245</v>
      </c>
      <c r="BO249" s="30" t="s">
        <v>245</v>
      </c>
      <c r="BP249" s="30" t="s">
        <v>245</v>
      </c>
      <c r="BQ249" s="30" t="s">
        <v>245</v>
      </c>
      <c r="BR249" s="30" t="s">
        <v>245</v>
      </c>
      <c r="BS249" s="30" t="s">
        <v>2199</v>
      </c>
      <c r="BT249" s="30" t="str">
        <f>HYPERLINK("https%3A%2F%2Fwww.webofscience.com%2Fwos%2Fwoscc%2Ffull-record%2FWOS:000456761500014","View Full Record in Web of Science")</f>
        <v>View Full Record in Web of Science</v>
      </c>
    </row>
    <row r="250" spans="1:72" x14ac:dyDescent="0.2">
      <c r="A250" s="30" t="s">
        <v>243</v>
      </c>
      <c r="B250" s="30" t="s">
        <v>2200</v>
      </c>
      <c r="C250" s="30" t="s">
        <v>245</v>
      </c>
      <c r="D250" s="30" t="s">
        <v>245</v>
      </c>
      <c r="E250" s="30" t="s">
        <v>245</v>
      </c>
      <c r="F250" s="30" t="s">
        <v>2200</v>
      </c>
      <c r="G250" s="30" t="s">
        <v>245</v>
      </c>
      <c r="H250" s="30" t="s">
        <v>245</v>
      </c>
      <c r="I250" s="30" t="s">
        <v>2201</v>
      </c>
      <c r="J250" s="30" t="s">
        <v>336</v>
      </c>
      <c r="K250" s="30" t="s">
        <v>245</v>
      </c>
      <c r="L250" s="30" t="s">
        <v>245</v>
      </c>
      <c r="M250" s="30" t="s">
        <v>245</v>
      </c>
      <c r="N250" s="30" t="s">
        <v>245</v>
      </c>
      <c r="O250" s="30" t="s">
        <v>245</v>
      </c>
      <c r="P250" s="30" t="s">
        <v>245</v>
      </c>
      <c r="Q250" s="30" t="s">
        <v>245</v>
      </c>
      <c r="R250" s="30" t="s">
        <v>245</v>
      </c>
      <c r="S250" s="30" t="s">
        <v>245</v>
      </c>
      <c r="T250" s="30" t="s">
        <v>245</v>
      </c>
      <c r="U250" s="30" t="s">
        <v>245</v>
      </c>
      <c r="V250" s="30" t="s">
        <v>245</v>
      </c>
      <c r="W250" s="30" t="s">
        <v>245</v>
      </c>
      <c r="X250" s="30" t="s">
        <v>245</v>
      </c>
      <c r="Y250" s="30" t="s">
        <v>245</v>
      </c>
      <c r="Z250" s="30" t="s">
        <v>245</v>
      </c>
      <c r="AA250" s="30" t="s">
        <v>2202</v>
      </c>
      <c r="AB250" s="30" t="s">
        <v>2203</v>
      </c>
      <c r="AC250" s="30" t="s">
        <v>245</v>
      </c>
      <c r="AD250" s="30" t="s">
        <v>245</v>
      </c>
      <c r="AE250" s="30" t="s">
        <v>245</v>
      </c>
      <c r="AF250" s="30" t="s">
        <v>245</v>
      </c>
      <c r="AG250" s="30" t="s">
        <v>245</v>
      </c>
      <c r="AH250" s="30" t="s">
        <v>245</v>
      </c>
      <c r="AI250" s="30" t="s">
        <v>245</v>
      </c>
      <c r="AJ250" s="30" t="s">
        <v>245</v>
      </c>
      <c r="AK250" s="30" t="s">
        <v>245</v>
      </c>
      <c r="AL250" s="30" t="s">
        <v>245</v>
      </c>
      <c r="AM250" s="30" t="s">
        <v>245</v>
      </c>
      <c r="AN250" s="30" t="s">
        <v>245</v>
      </c>
      <c r="AO250" s="30" t="s">
        <v>343</v>
      </c>
      <c r="AP250" s="30" t="s">
        <v>245</v>
      </c>
      <c r="AQ250" s="30" t="s">
        <v>245</v>
      </c>
      <c r="AR250" s="30" t="s">
        <v>245</v>
      </c>
      <c r="AS250" s="30" t="s">
        <v>245</v>
      </c>
      <c r="AT250" s="30" t="s">
        <v>550</v>
      </c>
      <c r="AU250" s="30">
        <v>2000</v>
      </c>
      <c r="AV250" s="30">
        <v>58</v>
      </c>
      <c r="AW250" s="30" t="s">
        <v>345</v>
      </c>
      <c r="AX250" s="30" t="s">
        <v>245</v>
      </c>
      <c r="AY250" s="30" t="s">
        <v>245</v>
      </c>
      <c r="AZ250" s="30" t="s">
        <v>245</v>
      </c>
      <c r="BA250" s="30" t="s">
        <v>245</v>
      </c>
      <c r="BB250" s="30">
        <v>37</v>
      </c>
      <c r="BC250" s="30">
        <v>53</v>
      </c>
      <c r="BD250" s="30" t="s">
        <v>245</v>
      </c>
      <c r="BE250" s="30" t="s">
        <v>2204</v>
      </c>
      <c r="BF250" s="30" t="str">
        <f>HYPERLINK("http://dx.doi.org/10.1023/A:1009826131741","http://dx.doi.org/10.1023/A:1009826131741")</f>
        <v>http://dx.doi.org/10.1023/A:1009826131741</v>
      </c>
      <c r="BG250" s="30" t="s">
        <v>245</v>
      </c>
      <c r="BH250" s="30" t="s">
        <v>245</v>
      </c>
      <c r="BI250" s="30" t="s">
        <v>245</v>
      </c>
      <c r="BJ250" s="30" t="s">
        <v>245</v>
      </c>
      <c r="BK250" s="30" t="s">
        <v>245</v>
      </c>
      <c r="BL250" s="30" t="s">
        <v>245</v>
      </c>
      <c r="BM250" s="30" t="s">
        <v>245</v>
      </c>
      <c r="BN250" s="30" t="s">
        <v>245</v>
      </c>
      <c r="BO250" s="30" t="s">
        <v>245</v>
      </c>
      <c r="BP250" s="30" t="s">
        <v>245</v>
      </c>
      <c r="BQ250" s="30" t="s">
        <v>245</v>
      </c>
      <c r="BR250" s="30" t="s">
        <v>245</v>
      </c>
      <c r="BS250" s="30" t="s">
        <v>2205</v>
      </c>
      <c r="BT250" s="30" t="str">
        <f>HYPERLINK("https%3A%2F%2Fwww.webofscience.com%2Fwos%2Fwoscc%2Ffull-record%2FWOS:000166362400004","View Full Record in Web of Science")</f>
        <v>View Full Record in Web of Science</v>
      </c>
    </row>
    <row r="251" spans="1:72" x14ac:dyDescent="0.2">
      <c r="A251" s="30" t="s">
        <v>243</v>
      </c>
      <c r="B251" s="30" t="s">
        <v>2206</v>
      </c>
      <c r="C251" s="30" t="s">
        <v>245</v>
      </c>
      <c r="D251" s="30" t="s">
        <v>245</v>
      </c>
      <c r="E251" s="30" t="s">
        <v>245</v>
      </c>
      <c r="F251" s="30" t="s">
        <v>2207</v>
      </c>
      <c r="G251" s="30" t="s">
        <v>245</v>
      </c>
      <c r="H251" s="30" t="s">
        <v>245</v>
      </c>
      <c r="I251" s="30" t="s">
        <v>2208</v>
      </c>
      <c r="J251" s="30" t="s">
        <v>282</v>
      </c>
      <c r="K251" s="30" t="s">
        <v>245</v>
      </c>
      <c r="L251" s="30" t="s">
        <v>245</v>
      </c>
      <c r="M251" s="30" t="s">
        <v>245</v>
      </c>
      <c r="N251" s="30" t="s">
        <v>245</v>
      </c>
      <c r="O251" s="30" t="s">
        <v>245</v>
      </c>
      <c r="P251" s="30" t="s">
        <v>245</v>
      </c>
      <c r="Q251" s="30" t="s">
        <v>245</v>
      </c>
      <c r="R251" s="30" t="s">
        <v>245</v>
      </c>
      <c r="S251" s="30" t="s">
        <v>245</v>
      </c>
      <c r="T251" s="30" t="s">
        <v>245</v>
      </c>
      <c r="U251" s="30" t="s">
        <v>245</v>
      </c>
      <c r="V251" s="30" t="s">
        <v>245</v>
      </c>
      <c r="W251" s="30" t="s">
        <v>245</v>
      </c>
      <c r="X251" s="30" t="s">
        <v>245</v>
      </c>
      <c r="Y251" s="30" t="s">
        <v>245</v>
      </c>
      <c r="Z251" s="30" t="s">
        <v>245</v>
      </c>
      <c r="AA251" s="30" t="s">
        <v>2209</v>
      </c>
      <c r="AB251" s="30" t="s">
        <v>2210</v>
      </c>
      <c r="AC251" s="30" t="s">
        <v>245</v>
      </c>
      <c r="AD251" s="30" t="s">
        <v>245</v>
      </c>
      <c r="AE251" s="30" t="s">
        <v>245</v>
      </c>
      <c r="AF251" s="30" t="s">
        <v>245</v>
      </c>
      <c r="AG251" s="30" t="s">
        <v>245</v>
      </c>
      <c r="AH251" s="30" t="s">
        <v>245</v>
      </c>
      <c r="AI251" s="30" t="s">
        <v>245</v>
      </c>
      <c r="AJ251" s="30" t="s">
        <v>245</v>
      </c>
      <c r="AK251" s="30" t="s">
        <v>245</v>
      </c>
      <c r="AL251" s="30" t="s">
        <v>245</v>
      </c>
      <c r="AM251" s="30" t="s">
        <v>245</v>
      </c>
      <c r="AN251" s="30" t="s">
        <v>245</v>
      </c>
      <c r="AO251" s="30" t="s">
        <v>285</v>
      </c>
      <c r="AP251" s="30" t="s">
        <v>245</v>
      </c>
      <c r="AQ251" s="30" t="s">
        <v>245</v>
      </c>
      <c r="AR251" s="30" t="s">
        <v>245</v>
      </c>
      <c r="AS251" s="30" t="s">
        <v>245</v>
      </c>
      <c r="AT251" s="30" t="s">
        <v>265</v>
      </c>
      <c r="AU251" s="30">
        <v>2011</v>
      </c>
      <c r="AV251" s="30">
        <v>43</v>
      </c>
      <c r="AW251" s="30">
        <v>6</v>
      </c>
      <c r="AX251" s="30" t="s">
        <v>245</v>
      </c>
      <c r="AY251" s="30" t="s">
        <v>245</v>
      </c>
      <c r="AZ251" s="30" t="s">
        <v>245</v>
      </c>
      <c r="BA251" s="30" t="s">
        <v>245</v>
      </c>
      <c r="BB251" s="30">
        <v>1180</v>
      </c>
      <c r="BC251" s="30">
        <v>1185</v>
      </c>
      <c r="BD251" s="30" t="s">
        <v>245</v>
      </c>
      <c r="BE251" s="30" t="s">
        <v>2211</v>
      </c>
      <c r="BF251" s="30" t="str">
        <f>HYPERLINK("http://dx.doi.org/10.1016/j.soilbio.2011.02.006","http://dx.doi.org/10.1016/j.soilbio.2011.02.006")</f>
        <v>http://dx.doi.org/10.1016/j.soilbio.2011.02.006</v>
      </c>
      <c r="BG251" s="30" t="s">
        <v>245</v>
      </c>
      <c r="BH251" s="30" t="s">
        <v>245</v>
      </c>
      <c r="BI251" s="30" t="s">
        <v>245</v>
      </c>
      <c r="BJ251" s="30" t="s">
        <v>245</v>
      </c>
      <c r="BK251" s="30" t="s">
        <v>245</v>
      </c>
      <c r="BL251" s="30" t="s">
        <v>245</v>
      </c>
      <c r="BM251" s="30" t="s">
        <v>245</v>
      </c>
      <c r="BN251" s="30" t="s">
        <v>245</v>
      </c>
      <c r="BO251" s="30" t="s">
        <v>245</v>
      </c>
      <c r="BP251" s="30" t="s">
        <v>245</v>
      </c>
      <c r="BQ251" s="30" t="s">
        <v>245</v>
      </c>
      <c r="BR251" s="30" t="s">
        <v>245</v>
      </c>
      <c r="BS251" s="30" t="s">
        <v>2212</v>
      </c>
      <c r="BT251" s="30" t="str">
        <f>HYPERLINK("https%3A%2F%2Fwww.webofscience.com%2Fwos%2Fwoscc%2Ffull-record%2FWOS:000290698100009","View Full Record in Web of Science")</f>
        <v>View Full Record in Web of Science</v>
      </c>
    </row>
    <row r="252" spans="1:72" x14ac:dyDescent="0.2">
      <c r="A252" s="30" t="s">
        <v>243</v>
      </c>
      <c r="B252" s="30" t="s">
        <v>2213</v>
      </c>
      <c r="C252" s="30" t="s">
        <v>245</v>
      </c>
      <c r="D252" s="30" t="s">
        <v>245</v>
      </c>
      <c r="E252" s="30" t="s">
        <v>245</v>
      </c>
      <c r="F252" s="30" t="s">
        <v>2214</v>
      </c>
      <c r="G252" s="30" t="s">
        <v>245</v>
      </c>
      <c r="H252" s="30" t="s">
        <v>245</v>
      </c>
      <c r="I252" s="30" t="s">
        <v>2215</v>
      </c>
      <c r="J252" s="30" t="s">
        <v>2216</v>
      </c>
      <c r="K252" s="30" t="s">
        <v>245</v>
      </c>
      <c r="L252" s="30" t="s">
        <v>245</v>
      </c>
      <c r="M252" s="30" t="s">
        <v>245</v>
      </c>
      <c r="N252" s="30" t="s">
        <v>245</v>
      </c>
      <c r="O252" s="30" t="s">
        <v>245</v>
      </c>
      <c r="P252" s="30" t="s">
        <v>245</v>
      </c>
      <c r="Q252" s="30" t="s">
        <v>245</v>
      </c>
      <c r="R252" s="30" t="s">
        <v>245</v>
      </c>
      <c r="S252" s="30" t="s">
        <v>245</v>
      </c>
      <c r="T252" s="30" t="s">
        <v>245</v>
      </c>
      <c r="U252" s="30" t="s">
        <v>245</v>
      </c>
      <c r="V252" s="30" t="s">
        <v>245</v>
      </c>
      <c r="W252" s="30" t="s">
        <v>245</v>
      </c>
      <c r="X252" s="30" t="s">
        <v>245</v>
      </c>
      <c r="Y252" s="30" t="s">
        <v>245</v>
      </c>
      <c r="Z252" s="30" t="s">
        <v>245</v>
      </c>
      <c r="AA252" s="30" t="s">
        <v>1971</v>
      </c>
      <c r="AB252" s="30" t="s">
        <v>2217</v>
      </c>
      <c r="AC252" s="30" t="s">
        <v>245</v>
      </c>
      <c r="AD252" s="30" t="s">
        <v>245</v>
      </c>
      <c r="AE252" s="30" t="s">
        <v>245</v>
      </c>
      <c r="AF252" s="30" t="s">
        <v>245</v>
      </c>
      <c r="AG252" s="30" t="s">
        <v>245</v>
      </c>
      <c r="AH252" s="30" t="s">
        <v>245</v>
      </c>
      <c r="AI252" s="30" t="s">
        <v>245</v>
      </c>
      <c r="AJ252" s="30" t="s">
        <v>245</v>
      </c>
      <c r="AK252" s="30" t="s">
        <v>245</v>
      </c>
      <c r="AL252" s="30" t="s">
        <v>245</v>
      </c>
      <c r="AM252" s="30" t="s">
        <v>245</v>
      </c>
      <c r="AN252" s="30" t="s">
        <v>245</v>
      </c>
      <c r="AO252" s="30" t="s">
        <v>2218</v>
      </c>
      <c r="AP252" s="30" t="s">
        <v>2219</v>
      </c>
      <c r="AQ252" s="30" t="s">
        <v>245</v>
      </c>
      <c r="AR252" s="30" t="s">
        <v>245</v>
      </c>
      <c r="AS252" s="30" t="s">
        <v>245</v>
      </c>
      <c r="AT252" s="30" t="s">
        <v>535</v>
      </c>
      <c r="AU252" s="30">
        <v>2019</v>
      </c>
      <c r="AV252" s="30">
        <v>22</v>
      </c>
      <c r="AW252" s="30">
        <v>5</v>
      </c>
      <c r="AX252" s="30" t="s">
        <v>245</v>
      </c>
      <c r="AY252" s="30" t="s">
        <v>245</v>
      </c>
      <c r="AZ252" s="30" t="s">
        <v>245</v>
      </c>
      <c r="BA252" s="30" t="s">
        <v>245</v>
      </c>
      <c r="BB252" s="30">
        <v>1108</v>
      </c>
      <c r="BC252" s="30">
        <v>1125</v>
      </c>
      <c r="BD252" s="30" t="s">
        <v>245</v>
      </c>
      <c r="BE252" s="30" t="s">
        <v>2220</v>
      </c>
      <c r="BF252" s="30" t="str">
        <f>HYPERLINK("http://dx.doi.org/10.1007/s10021-018-0325-2","http://dx.doi.org/10.1007/s10021-018-0325-2")</f>
        <v>http://dx.doi.org/10.1007/s10021-018-0325-2</v>
      </c>
      <c r="BG252" s="30" t="s">
        <v>245</v>
      </c>
      <c r="BH252" s="30" t="s">
        <v>245</v>
      </c>
      <c r="BI252" s="30" t="s">
        <v>245</v>
      </c>
      <c r="BJ252" s="30" t="s">
        <v>245</v>
      </c>
      <c r="BK252" s="30" t="s">
        <v>245</v>
      </c>
      <c r="BL252" s="30" t="s">
        <v>245</v>
      </c>
      <c r="BM252" s="30" t="s">
        <v>245</v>
      </c>
      <c r="BN252" s="30" t="s">
        <v>245</v>
      </c>
      <c r="BO252" s="30" t="s">
        <v>245</v>
      </c>
      <c r="BP252" s="30" t="s">
        <v>245</v>
      </c>
      <c r="BQ252" s="30" t="s">
        <v>245</v>
      </c>
      <c r="BR252" s="30" t="s">
        <v>245</v>
      </c>
      <c r="BS252" s="30" t="s">
        <v>2221</v>
      </c>
      <c r="BT252" s="30" t="str">
        <f>HYPERLINK("https%3A%2F%2Fwww.webofscience.com%2Fwos%2Fwoscc%2Ffull-record%2FWOS:000480546800013","View Full Record in Web of Science")</f>
        <v>View Full Record in Web of Science</v>
      </c>
    </row>
    <row r="253" spans="1:72" x14ac:dyDescent="0.2">
      <c r="A253" s="30" t="s">
        <v>243</v>
      </c>
      <c r="B253" s="30" t="s">
        <v>2222</v>
      </c>
      <c r="C253" s="30" t="s">
        <v>245</v>
      </c>
      <c r="D253" s="30" t="s">
        <v>245</v>
      </c>
      <c r="E253" s="30" t="s">
        <v>245</v>
      </c>
      <c r="F253" s="30" t="s">
        <v>2222</v>
      </c>
      <c r="G253" s="30" t="s">
        <v>245</v>
      </c>
      <c r="H253" s="30" t="s">
        <v>245</v>
      </c>
      <c r="I253" s="30" t="s">
        <v>2223</v>
      </c>
      <c r="J253" s="30" t="s">
        <v>2224</v>
      </c>
      <c r="K253" s="30" t="s">
        <v>245</v>
      </c>
      <c r="L253" s="30" t="s">
        <v>245</v>
      </c>
      <c r="M253" s="30" t="s">
        <v>245</v>
      </c>
      <c r="N253" s="30" t="s">
        <v>245</v>
      </c>
      <c r="O253" s="30" t="s">
        <v>245</v>
      </c>
      <c r="P253" s="30" t="s">
        <v>245</v>
      </c>
      <c r="Q253" s="30" t="s">
        <v>245</v>
      </c>
      <c r="R253" s="30" t="s">
        <v>245</v>
      </c>
      <c r="S253" s="30" t="s">
        <v>245</v>
      </c>
      <c r="T253" s="30" t="s">
        <v>245</v>
      </c>
      <c r="U253" s="30" t="s">
        <v>245</v>
      </c>
      <c r="V253" s="30" t="s">
        <v>245</v>
      </c>
      <c r="W253" s="30" t="s">
        <v>245</v>
      </c>
      <c r="X253" s="30" t="s">
        <v>245</v>
      </c>
      <c r="Y253" s="30" t="s">
        <v>245</v>
      </c>
      <c r="Z253" s="30" t="s">
        <v>245</v>
      </c>
      <c r="AA253" s="30" t="s">
        <v>245</v>
      </c>
      <c r="AB253" s="30" t="s">
        <v>245</v>
      </c>
      <c r="AC253" s="30" t="s">
        <v>245</v>
      </c>
      <c r="AD253" s="30" t="s">
        <v>245</v>
      </c>
      <c r="AE253" s="30" t="s">
        <v>245</v>
      </c>
      <c r="AF253" s="30" t="s">
        <v>245</v>
      </c>
      <c r="AG253" s="30" t="s">
        <v>245</v>
      </c>
      <c r="AH253" s="30" t="s">
        <v>245</v>
      </c>
      <c r="AI253" s="30" t="s">
        <v>245</v>
      </c>
      <c r="AJ253" s="30" t="s">
        <v>245</v>
      </c>
      <c r="AK253" s="30" t="s">
        <v>245</v>
      </c>
      <c r="AL253" s="30" t="s">
        <v>245</v>
      </c>
      <c r="AM253" s="30" t="s">
        <v>245</v>
      </c>
      <c r="AN253" s="30" t="s">
        <v>245</v>
      </c>
      <c r="AO253" s="30" t="s">
        <v>2225</v>
      </c>
      <c r="AP253" s="30" t="s">
        <v>245</v>
      </c>
      <c r="AQ253" s="30" t="s">
        <v>245</v>
      </c>
      <c r="AR253" s="30" t="s">
        <v>245</v>
      </c>
      <c r="AS253" s="30" t="s">
        <v>245</v>
      </c>
      <c r="AT253" s="30" t="s">
        <v>481</v>
      </c>
      <c r="AU253" s="30">
        <v>1996</v>
      </c>
      <c r="AV253" s="30">
        <v>60</v>
      </c>
      <c r="AW253" s="30">
        <v>4</v>
      </c>
      <c r="AX253" s="30" t="s">
        <v>245</v>
      </c>
      <c r="AY253" s="30" t="s">
        <v>245</v>
      </c>
      <c r="AZ253" s="30" t="s">
        <v>245</v>
      </c>
      <c r="BA253" s="30" t="s">
        <v>245</v>
      </c>
      <c r="BB253" s="30">
        <v>609</v>
      </c>
      <c r="BC253" s="30" t="s">
        <v>2226</v>
      </c>
      <c r="BD253" s="30" t="s">
        <v>245</v>
      </c>
      <c r="BE253" s="30" t="s">
        <v>2227</v>
      </c>
      <c r="BF253" s="30" t="str">
        <f>HYPERLINK("http://dx.doi.org/10.1128/MMBR.60.4.609-640.1996","http://dx.doi.org/10.1128/MMBR.60.4.609-640.1996")</f>
        <v>http://dx.doi.org/10.1128/MMBR.60.4.609-640.1996</v>
      </c>
      <c r="BG253" s="30" t="s">
        <v>245</v>
      </c>
      <c r="BH253" s="30" t="s">
        <v>245</v>
      </c>
      <c r="BI253" s="30" t="s">
        <v>245</v>
      </c>
      <c r="BJ253" s="30" t="s">
        <v>245</v>
      </c>
      <c r="BK253" s="30" t="s">
        <v>245</v>
      </c>
      <c r="BL253" s="30" t="s">
        <v>245</v>
      </c>
      <c r="BM253" s="30" t="s">
        <v>245</v>
      </c>
      <c r="BN253" s="30">
        <v>8987358</v>
      </c>
      <c r="BO253" s="30" t="s">
        <v>245</v>
      </c>
      <c r="BP253" s="30" t="s">
        <v>245</v>
      </c>
      <c r="BQ253" s="30" t="s">
        <v>245</v>
      </c>
      <c r="BR253" s="30" t="s">
        <v>245</v>
      </c>
      <c r="BS253" s="30" t="s">
        <v>2228</v>
      </c>
      <c r="BT253" s="30" t="str">
        <f>HYPERLINK("https%3A%2F%2Fwww.webofscience.com%2Fwos%2Fwoscc%2Ffull-record%2FWOS:A1996VX87800002","View Full Record in Web of Science")</f>
        <v>View Full Record in Web of Science</v>
      </c>
    </row>
    <row r="254" spans="1:72" x14ac:dyDescent="0.2">
      <c r="A254" s="30" t="s">
        <v>243</v>
      </c>
      <c r="B254" s="30" t="s">
        <v>2229</v>
      </c>
      <c r="C254" s="30" t="s">
        <v>245</v>
      </c>
      <c r="D254" s="30" t="s">
        <v>245</v>
      </c>
      <c r="E254" s="30" t="s">
        <v>245</v>
      </c>
      <c r="F254" s="30" t="s">
        <v>2230</v>
      </c>
      <c r="G254" s="30" t="s">
        <v>245</v>
      </c>
      <c r="H254" s="30" t="s">
        <v>245</v>
      </c>
      <c r="I254" s="30" t="s">
        <v>2231</v>
      </c>
      <c r="J254" s="30" t="s">
        <v>952</v>
      </c>
      <c r="K254" s="30" t="s">
        <v>245</v>
      </c>
      <c r="L254" s="30" t="s">
        <v>245</v>
      </c>
      <c r="M254" s="30" t="s">
        <v>245</v>
      </c>
      <c r="N254" s="30" t="s">
        <v>245</v>
      </c>
      <c r="O254" s="30" t="s">
        <v>245</v>
      </c>
      <c r="P254" s="30" t="s">
        <v>245</v>
      </c>
      <c r="Q254" s="30" t="s">
        <v>245</v>
      </c>
      <c r="R254" s="30" t="s">
        <v>245</v>
      </c>
      <c r="S254" s="30" t="s">
        <v>245</v>
      </c>
      <c r="T254" s="30" t="s">
        <v>245</v>
      </c>
      <c r="U254" s="30" t="s">
        <v>245</v>
      </c>
      <c r="V254" s="30" t="s">
        <v>245</v>
      </c>
      <c r="W254" s="30" t="s">
        <v>245</v>
      </c>
      <c r="X254" s="30" t="s">
        <v>245</v>
      </c>
      <c r="Y254" s="30" t="s">
        <v>245</v>
      </c>
      <c r="Z254" s="30" t="s">
        <v>245</v>
      </c>
      <c r="AA254" s="30" t="s">
        <v>2232</v>
      </c>
      <c r="AB254" s="30" t="s">
        <v>2233</v>
      </c>
      <c r="AC254" s="30" t="s">
        <v>245</v>
      </c>
      <c r="AD254" s="30" t="s">
        <v>245</v>
      </c>
      <c r="AE254" s="30" t="s">
        <v>245</v>
      </c>
      <c r="AF254" s="30" t="s">
        <v>245</v>
      </c>
      <c r="AG254" s="30" t="s">
        <v>245</v>
      </c>
      <c r="AH254" s="30" t="s">
        <v>245</v>
      </c>
      <c r="AI254" s="30" t="s">
        <v>245</v>
      </c>
      <c r="AJ254" s="30" t="s">
        <v>245</v>
      </c>
      <c r="AK254" s="30" t="s">
        <v>245</v>
      </c>
      <c r="AL254" s="30" t="s">
        <v>245</v>
      </c>
      <c r="AM254" s="30" t="s">
        <v>245</v>
      </c>
      <c r="AN254" s="30" t="s">
        <v>245</v>
      </c>
      <c r="AO254" s="30" t="s">
        <v>955</v>
      </c>
      <c r="AP254" s="30" t="s">
        <v>956</v>
      </c>
      <c r="AQ254" s="30" t="s">
        <v>245</v>
      </c>
      <c r="AR254" s="30" t="s">
        <v>245</v>
      </c>
      <c r="AS254" s="30" t="s">
        <v>245</v>
      </c>
      <c r="AT254" s="30" t="s">
        <v>2234</v>
      </c>
      <c r="AU254" s="30">
        <v>2022</v>
      </c>
      <c r="AV254" s="30">
        <v>289</v>
      </c>
      <c r="AW254" s="30" t="s">
        <v>245</v>
      </c>
      <c r="AX254" s="30" t="s">
        <v>245</v>
      </c>
      <c r="AY254" s="30" t="s">
        <v>245</v>
      </c>
      <c r="AZ254" s="30" t="s">
        <v>245</v>
      </c>
      <c r="BA254" s="30" t="s">
        <v>245</v>
      </c>
      <c r="BB254" s="30" t="s">
        <v>245</v>
      </c>
      <c r="BC254" s="30" t="s">
        <v>245</v>
      </c>
      <c r="BD254" s="30">
        <v>108732</v>
      </c>
      <c r="BE254" s="30" t="s">
        <v>2235</v>
      </c>
      <c r="BF254" s="30" t="str">
        <f>HYPERLINK("http://dx.doi.org/10.1016/j.fcr.2022.108732","http://dx.doi.org/10.1016/j.fcr.2022.108732")</f>
        <v>http://dx.doi.org/10.1016/j.fcr.2022.108732</v>
      </c>
      <c r="BG254" s="30" t="s">
        <v>245</v>
      </c>
      <c r="BH254" s="30" t="s">
        <v>2031</v>
      </c>
      <c r="BI254" s="30" t="s">
        <v>245</v>
      </c>
      <c r="BJ254" s="30" t="s">
        <v>245</v>
      </c>
      <c r="BK254" s="30" t="s">
        <v>245</v>
      </c>
      <c r="BL254" s="30" t="s">
        <v>245</v>
      </c>
      <c r="BM254" s="30" t="s">
        <v>245</v>
      </c>
      <c r="BN254" s="30" t="s">
        <v>245</v>
      </c>
      <c r="BO254" s="30" t="s">
        <v>245</v>
      </c>
      <c r="BP254" s="30" t="s">
        <v>245</v>
      </c>
      <c r="BQ254" s="30" t="s">
        <v>245</v>
      </c>
      <c r="BR254" s="30" t="s">
        <v>245</v>
      </c>
      <c r="BS254" s="30" t="s">
        <v>2236</v>
      </c>
      <c r="BT254" s="30" t="str">
        <f>HYPERLINK("https%3A%2F%2Fwww.webofscience.com%2Fwos%2Fwoscc%2Ffull-record%2FWOS:000878038900005","View Full Record in Web of Science")</f>
        <v>View Full Record in Web of Science</v>
      </c>
    </row>
    <row r="255" spans="1:72" x14ac:dyDescent="0.2">
      <c r="A255" s="30" t="s">
        <v>243</v>
      </c>
      <c r="B255" s="30" t="s">
        <v>2237</v>
      </c>
      <c r="C255" s="30" t="s">
        <v>245</v>
      </c>
      <c r="D255" s="30" t="s">
        <v>245</v>
      </c>
      <c r="E255" s="30" t="s">
        <v>245</v>
      </c>
      <c r="F255" s="30" t="s">
        <v>2238</v>
      </c>
      <c r="G255" s="30" t="s">
        <v>245</v>
      </c>
      <c r="H255" s="30" t="s">
        <v>245</v>
      </c>
      <c r="I255" s="30" t="s">
        <v>2239</v>
      </c>
      <c r="J255" s="30" t="s">
        <v>413</v>
      </c>
      <c r="K255" s="30" t="s">
        <v>245</v>
      </c>
      <c r="L255" s="30" t="s">
        <v>245</v>
      </c>
      <c r="M255" s="30" t="s">
        <v>245</v>
      </c>
      <c r="N255" s="30" t="s">
        <v>245</v>
      </c>
      <c r="O255" s="30" t="s">
        <v>245</v>
      </c>
      <c r="P255" s="30" t="s">
        <v>245</v>
      </c>
      <c r="Q255" s="30" t="s">
        <v>245</v>
      </c>
      <c r="R255" s="30" t="s">
        <v>245</v>
      </c>
      <c r="S255" s="30" t="s">
        <v>245</v>
      </c>
      <c r="T255" s="30" t="s">
        <v>245</v>
      </c>
      <c r="U255" s="30" t="s">
        <v>245</v>
      </c>
      <c r="V255" s="30" t="s">
        <v>245</v>
      </c>
      <c r="W255" s="30" t="s">
        <v>245</v>
      </c>
      <c r="X255" s="30" t="s">
        <v>245</v>
      </c>
      <c r="Y255" s="30" t="s">
        <v>245</v>
      </c>
      <c r="Z255" s="30" t="s">
        <v>245</v>
      </c>
      <c r="AA255" s="30" t="s">
        <v>2240</v>
      </c>
      <c r="AB255" s="30" t="s">
        <v>2241</v>
      </c>
      <c r="AC255" s="30" t="s">
        <v>245</v>
      </c>
      <c r="AD255" s="30" t="s">
        <v>245</v>
      </c>
      <c r="AE255" s="30" t="s">
        <v>245</v>
      </c>
      <c r="AF255" s="30" t="s">
        <v>245</v>
      </c>
      <c r="AG255" s="30" t="s">
        <v>245</v>
      </c>
      <c r="AH255" s="30" t="s">
        <v>245</v>
      </c>
      <c r="AI255" s="30" t="s">
        <v>245</v>
      </c>
      <c r="AJ255" s="30" t="s">
        <v>245</v>
      </c>
      <c r="AK255" s="30" t="s">
        <v>245</v>
      </c>
      <c r="AL255" s="30" t="s">
        <v>245</v>
      </c>
      <c r="AM255" s="30" t="s">
        <v>245</v>
      </c>
      <c r="AN255" s="30" t="s">
        <v>245</v>
      </c>
      <c r="AO255" s="30" t="s">
        <v>416</v>
      </c>
      <c r="AP255" s="30" t="s">
        <v>417</v>
      </c>
      <c r="AQ255" s="30" t="s">
        <v>245</v>
      </c>
      <c r="AR255" s="30" t="s">
        <v>245</v>
      </c>
      <c r="AS255" s="30" t="s">
        <v>245</v>
      </c>
      <c r="AT255" s="30" t="s">
        <v>2242</v>
      </c>
      <c r="AU255" s="30">
        <v>2022</v>
      </c>
      <c r="AV255" s="30">
        <v>807</v>
      </c>
      <c r="AW255" s="30" t="s">
        <v>245</v>
      </c>
      <c r="AX255" s="30">
        <v>1</v>
      </c>
      <c r="AY255" s="30" t="s">
        <v>245</v>
      </c>
      <c r="AZ255" s="30" t="s">
        <v>245</v>
      </c>
      <c r="BA255" s="30" t="s">
        <v>245</v>
      </c>
      <c r="BB255" s="30" t="s">
        <v>245</v>
      </c>
      <c r="BC255" s="30" t="s">
        <v>245</v>
      </c>
      <c r="BD255" s="30">
        <v>150670</v>
      </c>
      <c r="BE255" s="30" t="s">
        <v>2243</v>
      </c>
      <c r="BF255" s="30" t="str">
        <f>HYPERLINK("http://dx.doi.org/10.1016/j.scitotenv.2021.150670","http://dx.doi.org/10.1016/j.scitotenv.2021.150670")</f>
        <v>http://dx.doi.org/10.1016/j.scitotenv.2021.150670</v>
      </c>
      <c r="BG255" s="30" t="s">
        <v>245</v>
      </c>
      <c r="BH255" s="30" t="s">
        <v>408</v>
      </c>
      <c r="BI255" s="30" t="s">
        <v>245</v>
      </c>
      <c r="BJ255" s="30" t="s">
        <v>245</v>
      </c>
      <c r="BK255" s="30" t="s">
        <v>245</v>
      </c>
      <c r="BL255" s="30" t="s">
        <v>245</v>
      </c>
      <c r="BM255" s="30" t="s">
        <v>245</v>
      </c>
      <c r="BN255" s="30">
        <v>34610408</v>
      </c>
      <c r="BO255" s="30" t="s">
        <v>245</v>
      </c>
      <c r="BP255" s="30" t="s">
        <v>245</v>
      </c>
      <c r="BQ255" s="30" t="s">
        <v>245</v>
      </c>
      <c r="BR255" s="30" t="s">
        <v>245</v>
      </c>
      <c r="BS255" s="30" t="s">
        <v>2244</v>
      </c>
      <c r="BT255" s="30" t="str">
        <f>HYPERLINK("https%3A%2F%2Fwww.webofscience.com%2Fwos%2Fwoscc%2Ffull-record%2FWOS:000707663100007","View Full Record in Web of Science")</f>
        <v>View Full Record in Web of Science</v>
      </c>
    </row>
    <row r="256" spans="1:72" x14ac:dyDescent="0.2">
      <c r="A256" s="30" t="s">
        <v>243</v>
      </c>
      <c r="B256" s="30" t="s">
        <v>2245</v>
      </c>
      <c r="C256" s="30" t="s">
        <v>245</v>
      </c>
      <c r="D256" s="30" t="s">
        <v>245</v>
      </c>
      <c r="E256" s="30" t="s">
        <v>245</v>
      </c>
      <c r="F256" s="30" t="s">
        <v>2245</v>
      </c>
      <c r="G256" s="30" t="s">
        <v>245</v>
      </c>
      <c r="H256" s="30" t="s">
        <v>245</v>
      </c>
      <c r="I256" s="30" t="s">
        <v>2246</v>
      </c>
      <c r="J256" s="30" t="s">
        <v>986</v>
      </c>
      <c r="K256" s="30" t="s">
        <v>245</v>
      </c>
      <c r="L256" s="30" t="s">
        <v>245</v>
      </c>
      <c r="M256" s="30" t="s">
        <v>245</v>
      </c>
      <c r="N256" s="30" t="s">
        <v>245</v>
      </c>
      <c r="O256" s="30" t="s">
        <v>245</v>
      </c>
      <c r="P256" s="30" t="s">
        <v>245</v>
      </c>
      <c r="Q256" s="30" t="s">
        <v>245</v>
      </c>
      <c r="R256" s="30" t="s">
        <v>245</v>
      </c>
      <c r="S256" s="30" t="s">
        <v>245</v>
      </c>
      <c r="T256" s="30" t="s">
        <v>245</v>
      </c>
      <c r="U256" s="30" t="s">
        <v>245</v>
      </c>
      <c r="V256" s="30" t="s">
        <v>245</v>
      </c>
      <c r="W256" s="30" t="s">
        <v>245</v>
      </c>
      <c r="X256" s="30" t="s">
        <v>245</v>
      </c>
      <c r="Y256" s="30" t="s">
        <v>245</v>
      </c>
      <c r="Z256" s="30" t="s">
        <v>245</v>
      </c>
      <c r="AA256" s="30" t="s">
        <v>2247</v>
      </c>
      <c r="AB256" s="30" t="s">
        <v>2248</v>
      </c>
      <c r="AC256" s="30" t="s">
        <v>245</v>
      </c>
      <c r="AD256" s="30" t="s">
        <v>245</v>
      </c>
      <c r="AE256" s="30" t="s">
        <v>245</v>
      </c>
      <c r="AF256" s="30" t="s">
        <v>245</v>
      </c>
      <c r="AG256" s="30" t="s">
        <v>245</v>
      </c>
      <c r="AH256" s="30" t="s">
        <v>245</v>
      </c>
      <c r="AI256" s="30" t="s">
        <v>245</v>
      </c>
      <c r="AJ256" s="30" t="s">
        <v>245</v>
      </c>
      <c r="AK256" s="30" t="s">
        <v>245</v>
      </c>
      <c r="AL256" s="30" t="s">
        <v>245</v>
      </c>
      <c r="AM256" s="30" t="s">
        <v>245</v>
      </c>
      <c r="AN256" s="30" t="s">
        <v>245</v>
      </c>
      <c r="AO256" s="30" t="s">
        <v>987</v>
      </c>
      <c r="AP256" s="30" t="s">
        <v>245</v>
      </c>
      <c r="AQ256" s="30" t="s">
        <v>245</v>
      </c>
      <c r="AR256" s="30" t="s">
        <v>245</v>
      </c>
      <c r="AS256" s="30" t="s">
        <v>245</v>
      </c>
      <c r="AT256" s="30" t="s">
        <v>454</v>
      </c>
      <c r="AU256" s="30">
        <v>2002</v>
      </c>
      <c r="AV256" s="30">
        <v>68</v>
      </c>
      <c r="AW256" s="30">
        <v>9</v>
      </c>
      <c r="AX256" s="30" t="s">
        <v>245</v>
      </c>
      <c r="AY256" s="30" t="s">
        <v>245</v>
      </c>
      <c r="AZ256" s="30" t="s">
        <v>245</v>
      </c>
      <c r="BA256" s="30" t="s">
        <v>245</v>
      </c>
      <c r="BB256" s="30">
        <v>4480</v>
      </c>
      <c r="BC256" s="30">
        <v>4485</v>
      </c>
      <c r="BD256" s="30" t="s">
        <v>245</v>
      </c>
      <c r="BE256" s="30" t="s">
        <v>2249</v>
      </c>
      <c r="BF256" s="30" t="str">
        <f>HYPERLINK("http://dx.doi.org/10.1128/AEM.68.9.4480-4485.2002","http://dx.doi.org/10.1128/AEM.68.9.4480-4485.2002")</f>
        <v>http://dx.doi.org/10.1128/AEM.68.9.4480-4485.2002</v>
      </c>
      <c r="BG256" s="30" t="s">
        <v>245</v>
      </c>
      <c r="BH256" s="30" t="s">
        <v>245</v>
      </c>
      <c r="BI256" s="30" t="s">
        <v>245</v>
      </c>
      <c r="BJ256" s="30" t="s">
        <v>245</v>
      </c>
      <c r="BK256" s="30" t="s">
        <v>245</v>
      </c>
      <c r="BL256" s="30" t="s">
        <v>245</v>
      </c>
      <c r="BM256" s="30" t="s">
        <v>245</v>
      </c>
      <c r="BN256" s="30">
        <v>12200303</v>
      </c>
      <c r="BO256" s="30" t="s">
        <v>245</v>
      </c>
      <c r="BP256" s="30" t="s">
        <v>245</v>
      </c>
      <c r="BQ256" s="30" t="s">
        <v>245</v>
      </c>
      <c r="BR256" s="30" t="s">
        <v>245</v>
      </c>
      <c r="BS256" s="30" t="s">
        <v>2250</v>
      </c>
      <c r="BT256" s="30" t="str">
        <f>HYPERLINK("https%3A%2F%2Fwww.webofscience.com%2Fwos%2Fwoscc%2Ffull-record%2FWOS:000177718000042","View Full Record in Web of Science")</f>
        <v>View Full Record in Web of Science</v>
      </c>
    </row>
    <row r="257" spans="1:72" x14ac:dyDescent="0.2">
      <c r="A257" s="30" t="s">
        <v>243</v>
      </c>
      <c r="B257" s="30" t="s">
        <v>1965</v>
      </c>
      <c r="C257" s="30" t="s">
        <v>245</v>
      </c>
      <c r="D257" s="30" t="s">
        <v>245</v>
      </c>
      <c r="E257" s="30" t="s">
        <v>245</v>
      </c>
      <c r="F257" s="30" t="s">
        <v>1965</v>
      </c>
      <c r="G257" s="30" t="s">
        <v>245</v>
      </c>
      <c r="H257" s="30" t="s">
        <v>245</v>
      </c>
      <c r="I257" s="30" t="s">
        <v>2251</v>
      </c>
      <c r="J257" s="30" t="s">
        <v>875</v>
      </c>
      <c r="K257" s="30" t="s">
        <v>245</v>
      </c>
      <c r="L257" s="30" t="s">
        <v>245</v>
      </c>
      <c r="M257" s="30" t="s">
        <v>245</v>
      </c>
      <c r="N257" s="30" t="s">
        <v>245</v>
      </c>
      <c r="O257" s="30" t="s">
        <v>245</v>
      </c>
      <c r="P257" s="30" t="s">
        <v>245</v>
      </c>
      <c r="Q257" s="30" t="s">
        <v>245</v>
      </c>
      <c r="R257" s="30" t="s">
        <v>245</v>
      </c>
      <c r="S257" s="30" t="s">
        <v>245</v>
      </c>
      <c r="T257" s="30" t="s">
        <v>245</v>
      </c>
      <c r="U257" s="30" t="s">
        <v>245</v>
      </c>
      <c r="V257" s="30" t="s">
        <v>245</v>
      </c>
      <c r="W257" s="30" t="s">
        <v>245</v>
      </c>
      <c r="X257" s="30" t="s">
        <v>245</v>
      </c>
      <c r="Y257" s="30" t="s">
        <v>245</v>
      </c>
      <c r="Z257" s="30" t="s">
        <v>245</v>
      </c>
      <c r="AA257" s="30" t="s">
        <v>245</v>
      </c>
      <c r="AB257" s="30" t="s">
        <v>245</v>
      </c>
      <c r="AC257" s="30" t="s">
        <v>245</v>
      </c>
      <c r="AD257" s="30" t="s">
        <v>245</v>
      </c>
      <c r="AE257" s="30" t="s">
        <v>245</v>
      </c>
      <c r="AF257" s="30" t="s">
        <v>245</v>
      </c>
      <c r="AG257" s="30" t="s">
        <v>245</v>
      </c>
      <c r="AH257" s="30" t="s">
        <v>245</v>
      </c>
      <c r="AI257" s="30" t="s">
        <v>245</v>
      </c>
      <c r="AJ257" s="30" t="s">
        <v>245</v>
      </c>
      <c r="AK257" s="30" t="s">
        <v>245</v>
      </c>
      <c r="AL257" s="30" t="s">
        <v>245</v>
      </c>
      <c r="AM257" s="30" t="s">
        <v>245</v>
      </c>
      <c r="AN257" s="30" t="s">
        <v>245</v>
      </c>
      <c r="AO257" s="30" t="s">
        <v>878</v>
      </c>
      <c r="AP257" s="30" t="s">
        <v>245</v>
      </c>
      <c r="AQ257" s="30" t="s">
        <v>245</v>
      </c>
      <c r="AR257" s="30" t="s">
        <v>245</v>
      </c>
      <c r="AS257" s="30" t="s">
        <v>245</v>
      </c>
      <c r="AT257" s="30" t="s">
        <v>487</v>
      </c>
      <c r="AU257" s="30">
        <v>1998</v>
      </c>
      <c r="AV257" s="30">
        <v>25</v>
      </c>
      <c r="AW257" s="30">
        <v>3</v>
      </c>
      <c r="AX257" s="30" t="s">
        <v>245</v>
      </c>
      <c r="AY257" s="30" t="s">
        <v>245</v>
      </c>
      <c r="AZ257" s="30" t="s">
        <v>245</v>
      </c>
      <c r="BA257" s="30" t="s">
        <v>245</v>
      </c>
      <c r="BB257" s="30">
        <v>301</v>
      </c>
      <c r="BC257" s="30">
        <v>318</v>
      </c>
      <c r="BD257" s="30" t="s">
        <v>245</v>
      </c>
      <c r="BE257" s="30" t="s">
        <v>245</v>
      </c>
      <c r="BF257" s="30" t="s">
        <v>245</v>
      </c>
      <c r="BG257" s="30" t="s">
        <v>245</v>
      </c>
      <c r="BH257" s="30" t="s">
        <v>245</v>
      </c>
      <c r="BI257" s="30" t="s">
        <v>245</v>
      </c>
      <c r="BJ257" s="30" t="s">
        <v>245</v>
      </c>
      <c r="BK257" s="30" t="s">
        <v>245</v>
      </c>
      <c r="BL257" s="30" t="s">
        <v>245</v>
      </c>
      <c r="BM257" s="30" t="s">
        <v>245</v>
      </c>
      <c r="BN257" s="30" t="s">
        <v>245</v>
      </c>
      <c r="BO257" s="30" t="s">
        <v>245</v>
      </c>
      <c r="BP257" s="30" t="s">
        <v>245</v>
      </c>
      <c r="BQ257" s="30" t="s">
        <v>245</v>
      </c>
      <c r="BR257" s="30" t="s">
        <v>245</v>
      </c>
      <c r="BS257" s="30" t="s">
        <v>2252</v>
      </c>
      <c r="BT257" s="30" t="str">
        <f>HYPERLINK("https%3A%2F%2Fwww.webofscience.com%2Fwos%2Fwoscc%2Ffull-record%2FWOS:000072513200010","View Full Record in Web of Science")</f>
        <v>View Full Record in Web of Science</v>
      </c>
    </row>
    <row r="258" spans="1:72" x14ac:dyDescent="0.2">
      <c r="A258" s="30" t="s">
        <v>243</v>
      </c>
      <c r="B258" s="30" t="s">
        <v>2108</v>
      </c>
      <c r="C258" s="30" t="s">
        <v>245</v>
      </c>
      <c r="D258" s="30" t="s">
        <v>245</v>
      </c>
      <c r="E258" s="30" t="s">
        <v>245</v>
      </c>
      <c r="F258" s="30" t="s">
        <v>2109</v>
      </c>
      <c r="G258" s="30" t="s">
        <v>245</v>
      </c>
      <c r="H258" s="30" t="s">
        <v>245</v>
      </c>
      <c r="I258" s="30" t="s">
        <v>2253</v>
      </c>
      <c r="J258" s="30" t="s">
        <v>2254</v>
      </c>
      <c r="K258" s="30" t="s">
        <v>245</v>
      </c>
      <c r="L258" s="30" t="s">
        <v>245</v>
      </c>
      <c r="M258" s="30" t="s">
        <v>245</v>
      </c>
      <c r="N258" s="30" t="s">
        <v>245</v>
      </c>
      <c r="O258" s="30" t="s">
        <v>245</v>
      </c>
      <c r="P258" s="30" t="s">
        <v>245</v>
      </c>
      <c r="Q258" s="30" t="s">
        <v>245</v>
      </c>
      <c r="R258" s="30" t="s">
        <v>245</v>
      </c>
      <c r="S258" s="30" t="s">
        <v>245</v>
      </c>
      <c r="T258" s="30" t="s">
        <v>245</v>
      </c>
      <c r="U258" s="30" t="s">
        <v>245</v>
      </c>
      <c r="V258" s="30" t="s">
        <v>245</v>
      </c>
      <c r="W258" s="30" t="s">
        <v>245</v>
      </c>
      <c r="X258" s="30" t="s">
        <v>245</v>
      </c>
      <c r="Y258" s="30" t="s">
        <v>245</v>
      </c>
      <c r="Z258" s="30" t="s">
        <v>245</v>
      </c>
      <c r="AA258" s="30" t="s">
        <v>2112</v>
      </c>
      <c r="AB258" s="30" t="s">
        <v>2255</v>
      </c>
      <c r="AC258" s="30" t="s">
        <v>245</v>
      </c>
      <c r="AD258" s="30" t="s">
        <v>245</v>
      </c>
      <c r="AE258" s="30" t="s">
        <v>245</v>
      </c>
      <c r="AF258" s="30" t="s">
        <v>245</v>
      </c>
      <c r="AG258" s="30" t="s">
        <v>245</v>
      </c>
      <c r="AH258" s="30" t="s">
        <v>245</v>
      </c>
      <c r="AI258" s="30" t="s">
        <v>245</v>
      </c>
      <c r="AJ258" s="30" t="s">
        <v>245</v>
      </c>
      <c r="AK258" s="30" t="s">
        <v>245</v>
      </c>
      <c r="AL258" s="30" t="s">
        <v>245</v>
      </c>
      <c r="AM258" s="30" t="s">
        <v>245</v>
      </c>
      <c r="AN258" s="30" t="s">
        <v>245</v>
      </c>
      <c r="AO258" s="30" t="s">
        <v>2256</v>
      </c>
      <c r="AP258" s="30" t="s">
        <v>245</v>
      </c>
      <c r="AQ258" s="30" t="s">
        <v>245</v>
      </c>
      <c r="AR258" s="30" t="s">
        <v>245</v>
      </c>
      <c r="AS258" s="30" t="s">
        <v>245</v>
      </c>
      <c r="AT258" s="30" t="s">
        <v>2257</v>
      </c>
      <c r="AU258" s="30">
        <v>2022</v>
      </c>
      <c r="AV258" s="30">
        <v>6</v>
      </c>
      <c r="AW258" s="30">
        <v>12</v>
      </c>
      <c r="AX258" s="30" t="s">
        <v>245</v>
      </c>
      <c r="AY258" s="30" t="s">
        <v>245</v>
      </c>
      <c r="AZ258" s="30" t="s">
        <v>245</v>
      </c>
      <c r="BA258" s="30" t="s">
        <v>245</v>
      </c>
      <c r="BB258" s="30">
        <v>2801</v>
      </c>
      <c r="BC258" s="30">
        <v>2811</v>
      </c>
      <c r="BD258" s="30" t="s">
        <v>245</v>
      </c>
      <c r="BE258" s="30" t="s">
        <v>2258</v>
      </c>
      <c r="BF258" s="30" t="str">
        <f>HYPERLINK("http://dx.doi.org/10.1021/acsearthspacechem.2c00158","http://dx.doi.org/10.1021/acsearthspacechem.2c00158")</f>
        <v>http://dx.doi.org/10.1021/acsearthspacechem.2c00158</v>
      </c>
      <c r="BG258" s="30" t="s">
        <v>245</v>
      </c>
      <c r="BH258" s="30" t="s">
        <v>1098</v>
      </c>
      <c r="BI258" s="30" t="s">
        <v>245</v>
      </c>
      <c r="BJ258" s="30" t="s">
        <v>245</v>
      </c>
      <c r="BK258" s="30" t="s">
        <v>245</v>
      </c>
      <c r="BL258" s="30" t="s">
        <v>245</v>
      </c>
      <c r="BM258" s="30" t="s">
        <v>245</v>
      </c>
      <c r="BN258" s="30" t="s">
        <v>245</v>
      </c>
      <c r="BO258" s="30" t="s">
        <v>245</v>
      </c>
      <c r="BP258" s="30" t="s">
        <v>245</v>
      </c>
      <c r="BQ258" s="30" t="s">
        <v>245</v>
      </c>
      <c r="BR258" s="30" t="s">
        <v>245</v>
      </c>
      <c r="BS258" s="30" t="s">
        <v>2259</v>
      </c>
      <c r="BT258" s="30" t="str">
        <f>HYPERLINK("https%3A%2F%2Fwww.webofscience.com%2Fwos%2Fwoscc%2Ffull-record%2FWOS:000891159700001","View Full Record in Web of Science")</f>
        <v>View Full Record in Web of Science</v>
      </c>
    </row>
    <row r="259" spans="1:72" x14ac:dyDescent="0.2">
      <c r="A259" s="30" t="s">
        <v>243</v>
      </c>
      <c r="B259" s="30" t="s">
        <v>2260</v>
      </c>
      <c r="C259" s="30" t="s">
        <v>245</v>
      </c>
      <c r="D259" s="30" t="s">
        <v>245</v>
      </c>
      <c r="E259" s="30" t="s">
        <v>245</v>
      </c>
      <c r="F259" s="30" t="s">
        <v>2261</v>
      </c>
      <c r="G259" s="30" t="s">
        <v>245</v>
      </c>
      <c r="H259" s="30" t="s">
        <v>245</v>
      </c>
      <c r="I259" s="30" t="s">
        <v>2262</v>
      </c>
      <c r="J259" s="30" t="s">
        <v>413</v>
      </c>
      <c r="K259" s="30" t="s">
        <v>245</v>
      </c>
      <c r="L259" s="30" t="s">
        <v>245</v>
      </c>
      <c r="M259" s="30" t="s">
        <v>245</v>
      </c>
      <c r="N259" s="30" t="s">
        <v>245</v>
      </c>
      <c r="O259" s="30" t="s">
        <v>245</v>
      </c>
      <c r="P259" s="30" t="s">
        <v>245</v>
      </c>
      <c r="Q259" s="30" t="s">
        <v>245</v>
      </c>
      <c r="R259" s="30" t="s">
        <v>245</v>
      </c>
      <c r="S259" s="30" t="s">
        <v>245</v>
      </c>
      <c r="T259" s="30" t="s">
        <v>245</v>
      </c>
      <c r="U259" s="30" t="s">
        <v>245</v>
      </c>
      <c r="V259" s="30" t="s">
        <v>245</v>
      </c>
      <c r="W259" s="30" t="s">
        <v>245</v>
      </c>
      <c r="X259" s="30" t="s">
        <v>245</v>
      </c>
      <c r="Y259" s="30" t="s">
        <v>245</v>
      </c>
      <c r="Z259" s="30" t="s">
        <v>245</v>
      </c>
      <c r="AA259" s="30" t="s">
        <v>2263</v>
      </c>
      <c r="AB259" s="30" t="s">
        <v>2264</v>
      </c>
      <c r="AC259" s="30" t="s">
        <v>245</v>
      </c>
      <c r="AD259" s="30" t="s">
        <v>245</v>
      </c>
      <c r="AE259" s="30" t="s">
        <v>245</v>
      </c>
      <c r="AF259" s="30" t="s">
        <v>245</v>
      </c>
      <c r="AG259" s="30" t="s">
        <v>245</v>
      </c>
      <c r="AH259" s="30" t="s">
        <v>245</v>
      </c>
      <c r="AI259" s="30" t="s">
        <v>245</v>
      </c>
      <c r="AJ259" s="30" t="s">
        <v>245</v>
      </c>
      <c r="AK259" s="30" t="s">
        <v>245</v>
      </c>
      <c r="AL259" s="30" t="s">
        <v>245</v>
      </c>
      <c r="AM259" s="30" t="s">
        <v>245</v>
      </c>
      <c r="AN259" s="30" t="s">
        <v>245</v>
      </c>
      <c r="AO259" s="30" t="s">
        <v>416</v>
      </c>
      <c r="AP259" s="30" t="s">
        <v>417</v>
      </c>
      <c r="AQ259" s="30" t="s">
        <v>245</v>
      </c>
      <c r="AR259" s="30" t="s">
        <v>245</v>
      </c>
      <c r="AS259" s="30" t="s">
        <v>245</v>
      </c>
      <c r="AT259" s="30" t="s">
        <v>1772</v>
      </c>
      <c r="AU259" s="30">
        <v>2021</v>
      </c>
      <c r="AV259" s="30">
        <v>781</v>
      </c>
      <c r="AW259" s="30" t="s">
        <v>245</v>
      </c>
      <c r="AX259" s="30" t="s">
        <v>245</v>
      </c>
      <c r="AY259" s="30" t="s">
        <v>245</v>
      </c>
      <c r="AZ259" s="30" t="s">
        <v>245</v>
      </c>
      <c r="BA259" s="30" t="s">
        <v>245</v>
      </c>
      <c r="BB259" s="30" t="s">
        <v>245</v>
      </c>
      <c r="BC259" s="30" t="s">
        <v>245</v>
      </c>
      <c r="BD259" s="30">
        <v>146713</v>
      </c>
      <c r="BE259" s="30" t="s">
        <v>2265</v>
      </c>
      <c r="BF259" s="30" t="str">
        <f>HYPERLINK("http://dx.doi.org/10.1016/j.scitotenv.2021.146713","http://dx.doi.org/10.1016/j.scitotenv.2021.146713")</f>
        <v>http://dx.doi.org/10.1016/j.scitotenv.2021.146713</v>
      </c>
      <c r="BG259" s="30" t="s">
        <v>245</v>
      </c>
      <c r="BH259" s="30" t="s">
        <v>524</v>
      </c>
      <c r="BI259" s="30" t="s">
        <v>245</v>
      </c>
      <c r="BJ259" s="30" t="s">
        <v>245</v>
      </c>
      <c r="BK259" s="30" t="s">
        <v>245</v>
      </c>
      <c r="BL259" s="30" t="s">
        <v>245</v>
      </c>
      <c r="BM259" s="30" t="s">
        <v>245</v>
      </c>
      <c r="BN259" s="30">
        <v>33784529</v>
      </c>
      <c r="BO259" s="30" t="s">
        <v>245</v>
      </c>
      <c r="BP259" s="30" t="s">
        <v>245</v>
      </c>
      <c r="BQ259" s="30" t="s">
        <v>245</v>
      </c>
      <c r="BR259" s="30" t="s">
        <v>245</v>
      </c>
      <c r="BS259" s="30" t="s">
        <v>2266</v>
      </c>
      <c r="BT259" s="30" t="str">
        <f>HYPERLINK("https%3A%2F%2Fwww.webofscience.com%2Fwos%2Fwoscc%2Ffull-record%2FWOS:000655621000014","View Full Record in Web of Science")</f>
        <v>View Full Record in Web of Science</v>
      </c>
    </row>
    <row r="260" spans="1:72" x14ac:dyDescent="0.2">
      <c r="A260" s="30" t="s">
        <v>243</v>
      </c>
      <c r="B260" s="30" t="s">
        <v>2267</v>
      </c>
      <c r="C260" s="30" t="s">
        <v>245</v>
      </c>
      <c r="D260" s="30" t="s">
        <v>245</v>
      </c>
      <c r="E260" s="30" t="s">
        <v>245</v>
      </c>
      <c r="F260" s="30" t="s">
        <v>2268</v>
      </c>
      <c r="G260" s="30" t="s">
        <v>245</v>
      </c>
      <c r="H260" s="30" t="s">
        <v>245</v>
      </c>
      <c r="I260" s="30" t="s">
        <v>2269</v>
      </c>
      <c r="J260" s="30" t="s">
        <v>450</v>
      </c>
      <c r="K260" s="30" t="s">
        <v>245</v>
      </c>
      <c r="L260" s="30" t="s">
        <v>245</v>
      </c>
      <c r="M260" s="30" t="s">
        <v>245</v>
      </c>
      <c r="N260" s="30" t="s">
        <v>245</v>
      </c>
      <c r="O260" s="30" t="s">
        <v>245</v>
      </c>
      <c r="P260" s="30" t="s">
        <v>245</v>
      </c>
      <c r="Q260" s="30" t="s">
        <v>245</v>
      </c>
      <c r="R260" s="30" t="s">
        <v>245</v>
      </c>
      <c r="S260" s="30" t="s">
        <v>245</v>
      </c>
      <c r="T260" s="30" t="s">
        <v>245</v>
      </c>
      <c r="U260" s="30" t="s">
        <v>245</v>
      </c>
      <c r="V260" s="30" t="s">
        <v>245</v>
      </c>
      <c r="W260" s="30" t="s">
        <v>245</v>
      </c>
      <c r="X260" s="30" t="s">
        <v>245</v>
      </c>
      <c r="Y260" s="30" t="s">
        <v>245</v>
      </c>
      <c r="Z260" s="30" t="s">
        <v>245</v>
      </c>
      <c r="AA260" s="30" t="s">
        <v>2270</v>
      </c>
      <c r="AB260" s="30" t="s">
        <v>2271</v>
      </c>
      <c r="AC260" s="30" t="s">
        <v>245</v>
      </c>
      <c r="AD260" s="30" t="s">
        <v>245</v>
      </c>
      <c r="AE260" s="30" t="s">
        <v>245</v>
      </c>
      <c r="AF260" s="30" t="s">
        <v>245</v>
      </c>
      <c r="AG260" s="30" t="s">
        <v>245</v>
      </c>
      <c r="AH260" s="30" t="s">
        <v>245</v>
      </c>
      <c r="AI260" s="30" t="s">
        <v>245</v>
      </c>
      <c r="AJ260" s="30" t="s">
        <v>245</v>
      </c>
      <c r="AK260" s="30" t="s">
        <v>245</v>
      </c>
      <c r="AL260" s="30" t="s">
        <v>245</v>
      </c>
      <c r="AM260" s="30" t="s">
        <v>245</v>
      </c>
      <c r="AN260" s="30" t="s">
        <v>245</v>
      </c>
      <c r="AO260" s="30" t="s">
        <v>452</v>
      </c>
      <c r="AP260" s="30" t="s">
        <v>245</v>
      </c>
      <c r="AQ260" s="30" t="s">
        <v>245</v>
      </c>
      <c r="AR260" s="30" t="s">
        <v>245</v>
      </c>
      <c r="AS260" s="30" t="s">
        <v>245</v>
      </c>
      <c r="AT260" s="30" t="s">
        <v>487</v>
      </c>
      <c r="AU260" s="30">
        <v>2011</v>
      </c>
      <c r="AV260" s="30">
        <v>37</v>
      </c>
      <c r="AW260" s="30">
        <v>3</v>
      </c>
      <c r="AX260" s="30" t="s">
        <v>245</v>
      </c>
      <c r="AY260" s="30" t="s">
        <v>245</v>
      </c>
      <c r="AZ260" s="30" t="s">
        <v>245</v>
      </c>
      <c r="BA260" s="30" t="s">
        <v>245</v>
      </c>
      <c r="BB260" s="30">
        <v>511</v>
      </c>
      <c r="BC260" s="30">
        <v>522</v>
      </c>
      <c r="BD260" s="30" t="s">
        <v>245</v>
      </c>
      <c r="BE260" s="30" t="s">
        <v>2272</v>
      </c>
      <c r="BF260" s="30" t="str">
        <f>HYPERLINK("http://dx.doi.org/10.1016/j.ecoleng.2010.12.006","http://dx.doi.org/10.1016/j.ecoleng.2010.12.006")</f>
        <v>http://dx.doi.org/10.1016/j.ecoleng.2010.12.006</v>
      </c>
      <c r="BG260" s="30" t="s">
        <v>245</v>
      </c>
      <c r="BH260" s="30" t="s">
        <v>245</v>
      </c>
      <c r="BI260" s="30" t="s">
        <v>245</v>
      </c>
      <c r="BJ260" s="30" t="s">
        <v>245</v>
      </c>
      <c r="BK260" s="30" t="s">
        <v>245</v>
      </c>
      <c r="BL260" s="30" t="s">
        <v>245</v>
      </c>
      <c r="BM260" s="30" t="s">
        <v>245</v>
      </c>
      <c r="BN260" s="30" t="s">
        <v>245</v>
      </c>
      <c r="BO260" s="30" t="s">
        <v>245</v>
      </c>
      <c r="BP260" s="30" t="s">
        <v>245</v>
      </c>
      <c r="BQ260" s="30" t="s">
        <v>245</v>
      </c>
      <c r="BR260" s="30" t="s">
        <v>245</v>
      </c>
      <c r="BS260" s="30" t="s">
        <v>2273</v>
      </c>
      <c r="BT260" s="30" t="str">
        <f>HYPERLINK("https%3A%2F%2Fwww.webofscience.com%2Fwos%2Fwoscc%2Ffull-record%2FWOS:000288043000013","View Full Record in Web of Science")</f>
        <v>View Full Record in Web of Science</v>
      </c>
    </row>
    <row r="261" spans="1:72" x14ac:dyDescent="0.2">
      <c r="A261" s="30" t="s">
        <v>243</v>
      </c>
      <c r="B261" s="30" t="s">
        <v>2274</v>
      </c>
      <c r="C261" s="30" t="s">
        <v>245</v>
      </c>
      <c r="D261" s="30" t="s">
        <v>245</v>
      </c>
      <c r="E261" s="30" t="s">
        <v>245</v>
      </c>
      <c r="F261" s="30" t="s">
        <v>2275</v>
      </c>
      <c r="G261" s="30" t="s">
        <v>245</v>
      </c>
      <c r="H261" s="30" t="s">
        <v>245</v>
      </c>
      <c r="I261" s="30" t="s">
        <v>2276</v>
      </c>
      <c r="J261" s="30" t="s">
        <v>271</v>
      </c>
      <c r="K261" s="30" t="s">
        <v>245</v>
      </c>
      <c r="L261" s="30" t="s">
        <v>245</v>
      </c>
      <c r="M261" s="30" t="s">
        <v>245</v>
      </c>
      <c r="N261" s="30" t="s">
        <v>245</v>
      </c>
      <c r="O261" s="30" t="s">
        <v>245</v>
      </c>
      <c r="P261" s="30" t="s">
        <v>245</v>
      </c>
      <c r="Q261" s="30" t="s">
        <v>245</v>
      </c>
      <c r="R261" s="30" t="s">
        <v>245</v>
      </c>
      <c r="S261" s="30" t="s">
        <v>245</v>
      </c>
      <c r="T261" s="30" t="s">
        <v>245</v>
      </c>
      <c r="U261" s="30" t="s">
        <v>245</v>
      </c>
      <c r="V261" s="30" t="s">
        <v>245</v>
      </c>
      <c r="W261" s="30" t="s">
        <v>245</v>
      </c>
      <c r="X261" s="30" t="s">
        <v>245</v>
      </c>
      <c r="Y261" s="30" t="s">
        <v>245</v>
      </c>
      <c r="Z261" s="30" t="s">
        <v>245</v>
      </c>
      <c r="AA261" s="30" t="s">
        <v>2277</v>
      </c>
      <c r="AB261" s="30" t="s">
        <v>2278</v>
      </c>
      <c r="AC261" s="30" t="s">
        <v>245</v>
      </c>
      <c r="AD261" s="30" t="s">
        <v>245</v>
      </c>
      <c r="AE261" s="30" t="s">
        <v>245</v>
      </c>
      <c r="AF261" s="30" t="s">
        <v>245</v>
      </c>
      <c r="AG261" s="30" t="s">
        <v>245</v>
      </c>
      <c r="AH261" s="30" t="s">
        <v>245</v>
      </c>
      <c r="AI261" s="30" t="s">
        <v>245</v>
      </c>
      <c r="AJ261" s="30" t="s">
        <v>245</v>
      </c>
      <c r="AK261" s="30" t="s">
        <v>245</v>
      </c>
      <c r="AL261" s="30" t="s">
        <v>245</v>
      </c>
      <c r="AM261" s="30" t="s">
        <v>245</v>
      </c>
      <c r="AN261" s="30" t="s">
        <v>245</v>
      </c>
      <c r="AO261" s="30" t="s">
        <v>274</v>
      </c>
      <c r="AP261" s="30" t="s">
        <v>275</v>
      </c>
      <c r="AQ261" s="30" t="s">
        <v>245</v>
      </c>
      <c r="AR261" s="30" t="s">
        <v>245</v>
      </c>
      <c r="AS261" s="30" t="s">
        <v>245</v>
      </c>
      <c r="AT261" s="30" t="s">
        <v>1899</v>
      </c>
      <c r="AU261" s="30">
        <v>2019</v>
      </c>
      <c r="AV261" s="30">
        <v>53</v>
      </c>
      <c r="AW261" s="30">
        <v>8</v>
      </c>
      <c r="AX261" s="30" t="s">
        <v>245</v>
      </c>
      <c r="AY261" s="30" t="s">
        <v>245</v>
      </c>
      <c r="AZ261" s="30" t="s">
        <v>245</v>
      </c>
      <c r="BA261" s="30" t="s">
        <v>245</v>
      </c>
      <c r="BB261" s="30">
        <v>4215</v>
      </c>
      <c r="BC261" s="30">
        <v>4223</v>
      </c>
      <c r="BD261" s="30" t="s">
        <v>245</v>
      </c>
      <c r="BE261" s="30" t="s">
        <v>2279</v>
      </c>
      <c r="BF261" s="30" t="str">
        <f>HYPERLINK("http://dx.doi.org/10.1021/acs.est.8b06187","http://dx.doi.org/10.1021/acs.est.8b06187")</f>
        <v>http://dx.doi.org/10.1021/acs.est.8b06187</v>
      </c>
      <c r="BG261" s="30" t="s">
        <v>245</v>
      </c>
      <c r="BH261" s="30" t="s">
        <v>245</v>
      </c>
      <c r="BI261" s="30" t="s">
        <v>245</v>
      </c>
      <c r="BJ261" s="30" t="s">
        <v>245</v>
      </c>
      <c r="BK261" s="30" t="s">
        <v>245</v>
      </c>
      <c r="BL261" s="30" t="s">
        <v>245</v>
      </c>
      <c r="BM261" s="30" t="s">
        <v>245</v>
      </c>
      <c r="BN261" s="30">
        <v>30882209</v>
      </c>
      <c r="BO261" s="30" t="s">
        <v>245</v>
      </c>
      <c r="BP261" s="30" t="s">
        <v>245</v>
      </c>
      <c r="BQ261" s="30" t="s">
        <v>245</v>
      </c>
      <c r="BR261" s="30" t="s">
        <v>245</v>
      </c>
      <c r="BS261" s="30" t="s">
        <v>2280</v>
      </c>
      <c r="BT261" s="30" t="str">
        <f>HYPERLINK("https%3A%2F%2Fwww.webofscience.com%2Fwos%2Fwoscc%2Ffull-record%2FWOS:000465190300021","View Full Record in Web of Science")</f>
        <v>View Full Record in Web of Science</v>
      </c>
    </row>
    <row r="262" spans="1:72" x14ac:dyDescent="0.2">
      <c r="A262" s="30" t="s">
        <v>243</v>
      </c>
      <c r="B262" s="30" t="s">
        <v>2281</v>
      </c>
      <c r="C262" s="30" t="s">
        <v>245</v>
      </c>
      <c r="D262" s="30" t="s">
        <v>245</v>
      </c>
      <c r="E262" s="30" t="s">
        <v>245</v>
      </c>
      <c r="F262" s="30" t="s">
        <v>2281</v>
      </c>
      <c r="G262" s="30" t="s">
        <v>245</v>
      </c>
      <c r="H262" s="30" t="s">
        <v>245</v>
      </c>
      <c r="I262" s="30" t="s">
        <v>2282</v>
      </c>
      <c r="J262" s="30" t="s">
        <v>2283</v>
      </c>
      <c r="K262" s="30" t="s">
        <v>245</v>
      </c>
      <c r="L262" s="30" t="s">
        <v>245</v>
      </c>
      <c r="M262" s="30" t="s">
        <v>245</v>
      </c>
      <c r="N262" s="30" t="s">
        <v>245</v>
      </c>
      <c r="O262" s="30" t="s">
        <v>245</v>
      </c>
      <c r="P262" s="30" t="s">
        <v>245</v>
      </c>
      <c r="Q262" s="30" t="s">
        <v>245</v>
      </c>
      <c r="R262" s="30" t="s">
        <v>245</v>
      </c>
      <c r="S262" s="30" t="s">
        <v>245</v>
      </c>
      <c r="T262" s="30" t="s">
        <v>245</v>
      </c>
      <c r="U262" s="30" t="s">
        <v>245</v>
      </c>
      <c r="V262" s="30" t="s">
        <v>245</v>
      </c>
      <c r="W262" s="30" t="s">
        <v>245</v>
      </c>
      <c r="X262" s="30" t="s">
        <v>245</v>
      </c>
      <c r="Y262" s="30" t="s">
        <v>245</v>
      </c>
      <c r="Z262" s="30" t="s">
        <v>245</v>
      </c>
      <c r="AA262" s="30" t="s">
        <v>2284</v>
      </c>
      <c r="AB262" s="30" t="s">
        <v>2285</v>
      </c>
      <c r="AC262" s="30" t="s">
        <v>245</v>
      </c>
      <c r="AD262" s="30" t="s">
        <v>245</v>
      </c>
      <c r="AE262" s="30" t="s">
        <v>245</v>
      </c>
      <c r="AF262" s="30" t="s">
        <v>245</v>
      </c>
      <c r="AG262" s="30" t="s">
        <v>245</v>
      </c>
      <c r="AH262" s="30" t="s">
        <v>245</v>
      </c>
      <c r="AI262" s="30" t="s">
        <v>245</v>
      </c>
      <c r="AJ262" s="30" t="s">
        <v>245</v>
      </c>
      <c r="AK262" s="30" t="s">
        <v>245</v>
      </c>
      <c r="AL262" s="30" t="s">
        <v>245</v>
      </c>
      <c r="AM262" s="30" t="s">
        <v>245</v>
      </c>
      <c r="AN262" s="30" t="s">
        <v>245</v>
      </c>
      <c r="AO262" s="30" t="s">
        <v>2286</v>
      </c>
      <c r="AP262" s="30" t="s">
        <v>245</v>
      </c>
      <c r="AQ262" s="30" t="s">
        <v>245</v>
      </c>
      <c r="AR262" s="30" t="s">
        <v>245</v>
      </c>
      <c r="AS262" s="30" t="s">
        <v>245</v>
      </c>
      <c r="AT262" s="30" t="s">
        <v>535</v>
      </c>
      <c r="AU262" s="30">
        <v>2001</v>
      </c>
      <c r="AV262" s="30">
        <v>75</v>
      </c>
      <c r="AW262" s="30" t="s">
        <v>1566</v>
      </c>
      <c r="AX262" s="30" t="s">
        <v>245</v>
      </c>
      <c r="AY262" s="30" t="s">
        <v>245</v>
      </c>
      <c r="AZ262" s="30" t="s">
        <v>245</v>
      </c>
      <c r="BA262" s="30" t="s">
        <v>245</v>
      </c>
      <c r="BB262" s="30">
        <v>159</v>
      </c>
      <c r="BC262" s="30">
        <v>163</v>
      </c>
      <c r="BD262" s="30" t="s">
        <v>245</v>
      </c>
      <c r="BE262" s="30" t="s">
        <v>245</v>
      </c>
      <c r="BF262" s="30" t="s">
        <v>245</v>
      </c>
      <c r="BG262" s="30" t="s">
        <v>245</v>
      </c>
      <c r="BH262" s="30" t="s">
        <v>245</v>
      </c>
      <c r="BI262" s="30" t="s">
        <v>245</v>
      </c>
      <c r="BJ262" s="30" t="s">
        <v>245</v>
      </c>
      <c r="BK262" s="30" t="s">
        <v>245</v>
      </c>
      <c r="BL262" s="30" t="s">
        <v>245</v>
      </c>
      <c r="BM262" s="30" t="s">
        <v>245</v>
      </c>
      <c r="BN262" s="30" t="s">
        <v>245</v>
      </c>
      <c r="BO262" s="30" t="s">
        <v>245</v>
      </c>
      <c r="BP262" s="30" t="s">
        <v>245</v>
      </c>
      <c r="BQ262" s="30" t="s">
        <v>245</v>
      </c>
      <c r="BR262" s="30" t="s">
        <v>245</v>
      </c>
      <c r="BS262" s="30" t="s">
        <v>2287</v>
      </c>
      <c r="BT262" s="30" t="str">
        <f>HYPERLINK("https%3A%2F%2Fwww.webofscience.com%2Fwos%2Fwoscc%2Ffull-record%2FWOS:000171008900013","View Full Record in Web of Science")</f>
        <v>View Full Record in Web of Science</v>
      </c>
    </row>
    <row r="263" spans="1:72" x14ac:dyDescent="0.2">
      <c r="A263" s="30" t="s">
        <v>243</v>
      </c>
      <c r="B263" s="30" t="s">
        <v>2288</v>
      </c>
      <c r="C263" s="30" t="s">
        <v>245</v>
      </c>
      <c r="D263" s="30" t="s">
        <v>245</v>
      </c>
      <c r="E263" s="30" t="s">
        <v>245</v>
      </c>
      <c r="F263" s="30" t="s">
        <v>2289</v>
      </c>
      <c r="G263" s="30" t="s">
        <v>245</v>
      </c>
      <c r="H263" s="30" t="s">
        <v>245</v>
      </c>
      <c r="I263" s="30" t="s">
        <v>2290</v>
      </c>
      <c r="J263" s="30" t="s">
        <v>248</v>
      </c>
      <c r="K263" s="30" t="s">
        <v>245</v>
      </c>
      <c r="L263" s="30" t="s">
        <v>245</v>
      </c>
      <c r="M263" s="30" t="s">
        <v>245</v>
      </c>
      <c r="N263" s="30" t="s">
        <v>245</v>
      </c>
      <c r="O263" s="30" t="s">
        <v>245</v>
      </c>
      <c r="P263" s="30" t="s">
        <v>245</v>
      </c>
      <c r="Q263" s="30" t="s">
        <v>245</v>
      </c>
      <c r="R263" s="30" t="s">
        <v>245</v>
      </c>
      <c r="S263" s="30" t="s">
        <v>245</v>
      </c>
      <c r="T263" s="30" t="s">
        <v>245</v>
      </c>
      <c r="U263" s="30" t="s">
        <v>245</v>
      </c>
      <c r="V263" s="30" t="s">
        <v>245</v>
      </c>
      <c r="W263" s="30" t="s">
        <v>245</v>
      </c>
      <c r="X263" s="30" t="s">
        <v>245</v>
      </c>
      <c r="Y263" s="30" t="s">
        <v>245</v>
      </c>
      <c r="Z263" s="30" t="s">
        <v>245</v>
      </c>
      <c r="AA263" s="30" t="s">
        <v>2291</v>
      </c>
      <c r="AB263" s="30" t="s">
        <v>2292</v>
      </c>
      <c r="AC263" s="30" t="s">
        <v>245</v>
      </c>
      <c r="AD263" s="30" t="s">
        <v>245</v>
      </c>
      <c r="AE263" s="30" t="s">
        <v>245</v>
      </c>
      <c r="AF263" s="30" t="s">
        <v>245</v>
      </c>
      <c r="AG263" s="30" t="s">
        <v>245</v>
      </c>
      <c r="AH263" s="30" t="s">
        <v>245</v>
      </c>
      <c r="AI263" s="30" t="s">
        <v>245</v>
      </c>
      <c r="AJ263" s="30" t="s">
        <v>245</v>
      </c>
      <c r="AK263" s="30" t="s">
        <v>245</v>
      </c>
      <c r="AL263" s="30" t="s">
        <v>245</v>
      </c>
      <c r="AM263" s="30" t="s">
        <v>245</v>
      </c>
      <c r="AN263" s="30" t="s">
        <v>245</v>
      </c>
      <c r="AO263" s="30" t="s">
        <v>251</v>
      </c>
      <c r="AP263" s="30" t="s">
        <v>252</v>
      </c>
      <c r="AQ263" s="30" t="s">
        <v>245</v>
      </c>
      <c r="AR263" s="30" t="s">
        <v>245</v>
      </c>
      <c r="AS263" s="30" t="s">
        <v>245</v>
      </c>
      <c r="AT263" s="30" t="s">
        <v>2293</v>
      </c>
      <c r="AU263" s="30">
        <v>2015</v>
      </c>
      <c r="AV263" s="30">
        <v>46</v>
      </c>
      <c r="AW263" s="30">
        <v>17</v>
      </c>
      <c r="AX263" s="30" t="s">
        <v>245</v>
      </c>
      <c r="AY263" s="30" t="s">
        <v>245</v>
      </c>
      <c r="AZ263" s="30" t="s">
        <v>245</v>
      </c>
      <c r="BA263" s="30" t="s">
        <v>245</v>
      </c>
      <c r="BB263" s="30">
        <v>2168</v>
      </c>
      <c r="BC263" s="30">
        <v>2176</v>
      </c>
      <c r="BD263" s="30" t="s">
        <v>245</v>
      </c>
      <c r="BE263" s="30" t="s">
        <v>2294</v>
      </c>
      <c r="BF263" s="30" t="str">
        <f>HYPERLINK("http://dx.doi.org/10.1080/00103624.2015.1069318","http://dx.doi.org/10.1080/00103624.2015.1069318")</f>
        <v>http://dx.doi.org/10.1080/00103624.2015.1069318</v>
      </c>
      <c r="BG263" s="30" t="s">
        <v>245</v>
      </c>
      <c r="BH263" s="30" t="s">
        <v>245</v>
      </c>
      <c r="BI263" s="30" t="s">
        <v>245</v>
      </c>
      <c r="BJ263" s="30" t="s">
        <v>245</v>
      </c>
      <c r="BK263" s="30" t="s">
        <v>245</v>
      </c>
      <c r="BL263" s="30" t="s">
        <v>245</v>
      </c>
      <c r="BM263" s="30" t="s">
        <v>245</v>
      </c>
      <c r="BN263" s="30" t="s">
        <v>245</v>
      </c>
      <c r="BO263" s="30" t="s">
        <v>245</v>
      </c>
      <c r="BP263" s="30" t="s">
        <v>245</v>
      </c>
      <c r="BQ263" s="30" t="s">
        <v>245</v>
      </c>
      <c r="BR263" s="30" t="s">
        <v>245</v>
      </c>
      <c r="BS263" s="30" t="s">
        <v>2295</v>
      </c>
      <c r="BT263" s="30" t="str">
        <f>HYPERLINK("https%3A%2F%2Fwww.webofscience.com%2Fwos%2Fwoscc%2Ffull-record%2FWOS:000361378200006","View Full Record in Web of Science")</f>
        <v>View Full Record in Web of Science</v>
      </c>
    </row>
    <row r="264" spans="1:72" x14ac:dyDescent="0.2">
      <c r="A264" s="30" t="s">
        <v>243</v>
      </c>
      <c r="B264" s="30" t="s">
        <v>2296</v>
      </c>
      <c r="C264" s="30" t="s">
        <v>245</v>
      </c>
      <c r="D264" s="30" t="s">
        <v>245</v>
      </c>
      <c r="E264" s="30" t="s">
        <v>245</v>
      </c>
      <c r="F264" s="30" t="s">
        <v>2297</v>
      </c>
      <c r="G264" s="30" t="s">
        <v>245</v>
      </c>
      <c r="H264" s="30" t="s">
        <v>245</v>
      </c>
      <c r="I264" s="30" t="s">
        <v>2298</v>
      </c>
      <c r="J264" s="30" t="s">
        <v>336</v>
      </c>
      <c r="K264" s="30" t="s">
        <v>245</v>
      </c>
      <c r="L264" s="30" t="s">
        <v>245</v>
      </c>
      <c r="M264" s="30" t="s">
        <v>245</v>
      </c>
      <c r="N264" s="30" t="s">
        <v>245</v>
      </c>
      <c r="O264" s="30" t="s">
        <v>245</v>
      </c>
      <c r="P264" s="30" t="s">
        <v>245</v>
      </c>
      <c r="Q264" s="30" t="s">
        <v>245</v>
      </c>
      <c r="R264" s="30" t="s">
        <v>245</v>
      </c>
      <c r="S264" s="30" t="s">
        <v>245</v>
      </c>
      <c r="T264" s="30" t="s">
        <v>245</v>
      </c>
      <c r="U264" s="30" t="s">
        <v>245</v>
      </c>
      <c r="V264" s="30" t="s">
        <v>245</v>
      </c>
      <c r="W264" s="30" t="s">
        <v>245</v>
      </c>
      <c r="X264" s="30" t="s">
        <v>245</v>
      </c>
      <c r="Y264" s="30" t="s">
        <v>245</v>
      </c>
      <c r="Z264" s="30" t="s">
        <v>245</v>
      </c>
      <c r="AA264" s="30" t="s">
        <v>2299</v>
      </c>
      <c r="AB264" s="30" t="s">
        <v>245</v>
      </c>
      <c r="AC264" s="30" t="s">
        <v>245</v>
      </c>
      <c r="AD264" s="30" t="s">
        <v>245</v>
      </c>
      <c r="AE264" s="30" t="s">
        <v>245</v>
      </c>
      <c r="AF264" s="30" t="s">
        <v>245</v>
      </c>
      <c r="AG264" s="30" t="s">
        <v>245</v>
      </c>
      <c r="AH264" s="30" t="s">
        <v>245</v>
      </c>
      <c r="AI264" s="30" t="s">
        <v>245</v>
      </c>
      <c r="AJ264" s="30" t="s">
        <v>245</v>
      </c>
      <c r="AK264" s="30" t="s">
        <v>245</v>
      </c>
      <c r="AL264" s="30" t="s">
        <v>245</v>
      </c>
      <c r="AM264" s="30" t="s">
        <v>245</v>
      </c>
      <c r="AN264" s="30" t="s">
        <v>245</v>
      </c>
      <c r="AO264" s="30" t="s">
        <v>343</v>
      </c>
      <c r="AP264" s="30" t="s">
        <v>344</v>
      </c>
      <c r="AQ264" s="30" t="s">
        <v>245</v>
      </c>
      <c r="AR264" s="30" t="s">
        <v>245</v>
      </c>
      <c r="AS264" s="30" t="s">
        <v>245</v>
      </c>
      <c r="AT264" s="30" t="s">
        <v>354</v>
      </c>
      <c r="AU264" s="30">
        <v>2017</v>
      </c>
      <c r="AV264" s="30">
        <v>107</v>
      </c>
      <c r="AW264" s="30">
        <v>3</v>
      </c>
      <c r="AX264" s="30" t="s">
        <v>245</v>
      </c>
      <c r="AY264" s="30" t="s">
        <v>245</v>
      </c>
      <c r="AZ264" s="30" t="s">
        <v>245</v>
      </c>
      <c r="BA264" s="30" t="s">
        <v>245</v>
      </c>
      <c r="BB264" s="30">
        <v>413</v>
      </c>
      <c r="BC264" s="30">
        <v>431</v>
      </c>
      <c r="BD264" s="30" t="s">
        <v>245</v>
      </c>
      <c r="BE264" s="30" t="s">
        <v>2300</v>
      </c>
      <c r="BF264" s="30" t="str">
        <f>HYPERLINK("http://dx.doi.org/10.1007/s10705-017-9841-2","http://dx.doi.org/10.1007/s10705-017-9841-2")</f>
        <v>http://dx.doi.org/10.1007/s10705-017-9841-2</v>
      </c>
      <c r="BG264" s="30" t="s">
        <v>245</v>
      </c>
      <c r="BH264" s="30" t="s">
        <v>245</v>
      </c>
      <c r="BI264" s="30" t="s">
        <v>245</v>
      </c>
      <c r="BJ264" s="30" t="s">
        <v>245</v>
      </c>
      <c r="BK264" s="30" t="s">
        <v>245</v>
      </c>
      <c r="BL264" s="30" t="s">
        <v>245</v>
      </c>
      <c r="BM264" s="30" t="s">
        <v>245</v>
      </c>
      <c r="BN264" s="30" t="s">
        <v>245</v>
      </c>
      <c r="BO264" s="30" t="s">
        <v>245</v>
      </c>
      <c r="BP264" s="30" t="s">
        <v>245</v>
      </c>
      <c r="BQ264" s="30" t="s">
        <v>245</v>
      </c>
      <c r="BR264" s="30" t="s">
        <v>245</v>
      </c>
      <c r="BS264" s="30" t="s">
        <v>2301</v>
      </c>
      <c r="BT264" s="30" t="str">
        <f>HYPERLINK("https%3A%2F%2Fwww.webofscience.com%2Fwos%2Fwoscc%2Ffull-record%2FWOS:000400234100009","View Full Record in Web of Science")</f>
        <v>View Full Record in Web of Science</v>
      </c>
    </row>
    <row r="265" spans="1:72" x14ac:dyDescent="0.2">
      <c r="A265" s="30" t="s">
        <v>243</v>
      </c>
      <c r="B265" s="30" t="s">
        <v>2302</v>
      </c>
      <c r="C265" s="30" t="s">
        <v>245</v>
      </c>
      <c r="D265" s="30" t="s">
        <v>245</v>
      </c>
      <c r="E265" s="30" t="s">
        <v>245</v>
      </c>
      <c r="F265" s="30" t="s">
        <v>2303</v>
      </c>
      <c r="G265" s="30" t="s">
        <v>245</v>
      </c>
      <c r="H265" s="30" t="s">
        <v>245</v>
      </c>
      <c r="I265" s="30" t="s">
        <v>2304</v>
      </c>
      <c r="J265" s="30" t="s">
        <v>2305</v>
      </c>
      <c r="K265" s="30" t="s">
        <v>245</v>
      </c>
      <c r="L265" s="30" t="s">
        <v>245</v>
      </c>
      <c r="M265" s="30" t="s">
        <v>245</v>
      </c>
      <c r="N265" s="30" t="s">
        <v>245</v>
      </c>
      <c r="O265" s="30" t="s">
        <v>245</v>
      </c>
      <c r="P265" s="30" t="s">
        <v>245</v>
      </c>
      <c r="Q265" s="30" t="s">
        <v>245</v>
      </c>
      <c r="R265" s="30" t="s">
        <v>245</v>
      </c>
      <c r="S265" s="30" t="s">
        <v>245</v>
      </c>
      <c r="T265" s="30" t="s">
        <v>245</v>
      </c>
      <c r="U265" s="30" t="s">
        <v>245</v>
      </c>
      <c r="V265" s="30" t="s">
        <v>245</v>
      </c>
      <c r="W265" s="30" t="s">
        <v>245</v>
      </c>
      <c r="X265" s="30" t="s">
        <v>245</v>
      </c>
      <c r="Y265" s="30" t="s">
        <v>245</v>
      </c>
      <c r="Z265" s="30" t="s">
        <v>245</v>
      </c>
      <c r="AA265" s="30" t="s">
        <v>245</v>
      </c>
      <c r="AB265" s="30" t="s">
        <v>2306</v>
      </c>
      <c r="AC265" s="30" t="s">
        <v>245</v>
      </c>
      <c r="AD265" s="30" t="s">
        <v>245</v>
      </c>
      <c r="AE265" s="30" t="s">
        <v>245</v>
      </c>
      <c r="AF265" s="30" t="s">
        <v>245</v>
      </c>
      <c r="AG265" s="30" t="s">
        <v>245</v>
      </c>
      <c r="AH265" s="30" t="s">
        <v>245</v>
      </c>
      <c r="AI265" s="30" t="s">
        <v>245</v>
      </c>
      <c r="AJ265" s="30" t="s">
        <v>245</v>
      </c>
      <c r="AK265" s="30" t="s">
        <v>245</v>
      </c>
      <c r="AL265" s="30" t="s">
        <v>245</v>
      </c>
      <c r="AM265" s="30" t="s">
        <v>245</v>
      </c>
      <c r="AN265" s="30" t="s">
        <v>245</v>
      </c>
      <c r="AO265" s="30" t="s">
        <v>2307</v>
      </c>
      <c r="AP265" s="30" t="s">
        <v>2308</v>
      </c>
      <c r="AQ265" s="30" t="s">
        <v>245</v>
      </c>
      <c r="AR265" s="30" t="s">
        <v>245</v>
      </c>
      <c r="AS265" s="30" t="s">
        <v>245</v>
      </c>
      <c r="AT265" s="30" t="s">
        <v>635</v>
      </c>
      <c r="AU265" s="30">
        <v>2024</v>
      </c>
      <c r="AV265" s="30">
        <v>569</v>
      </c>
      <c r="AW265" s="30" t="s">
        <v>245</v>
      </c>
      <c r="AX265" s="30" t="s">
        <v>245</v>
      </c>
      <c r="AY265" s="30" t="s">
        <v>245</v>
      </c>
      <c r="AZ265" s="30" t="s">
        <v>245</v>
      </c>
      <c r="BA265" s="30" t="s">
        <v>245</v>
      </c>
      <c r="BB265" s="30" t="s">
        <v>245</v>
      </c>
      <c r="BC265" s="30" t="s">
        <v>245</v>
      </c>
      <c r="BD265" s="30">
        <v>122146</v>
      </c>
      <c r="BE265" s="30" t="s">
        <v>2309</v>
      </c>
      <c r="BF265" s="30" t="str">
        <f>HYPERLINK("http://dx.doi.org/10.1016/j.foreco.2024.122146","http://dx.doi.org/10.1016/j.foreco.2024.122146")</f>
        <v>http://dx.doi.org/10.1016/j.foreco.2024.122146</v>
      </c>
      <c r="BG265" s="30" t="s">
        <v>245</v>
      </c>
      <c r="BH265" s="30" t="s">
        <v>718</v>
      </c>
      <c r="BI265" s="30" t="s">
        <v>245</v>
      </c>
      <c r="BJ265" s="30" t="s">
        <v>245</v>
      </c>
      <c r="BK265" s="30" t="s">
        <v>245</v>
      </c>
      <c r="BL265" s="30" t="s">
        <v>245</v>
      </c>
      <c r="BM265" s="30" t="s">
        <v>245</v>
      </c>
      <c r="BN265" s="30" t="s">
        <v>245</v>
      </c>
      <c r="BO265" s="30" t="s">
        <v>245</v>
      </c>
      <c r="BP265" s="30" t="s">
        <v>245</v>
      </c>
      <c r="BQ265" s="30" t="s">
        <v>245</v>
      </c>
      <c r="BR265" s="30" t="s">
        <v>245</v>
      </c>
      <c r="BS265" s="30" t="s">
        <v>2310</v>
      </c>
      <c r="BT265" s="30" t="str">
        <f>HYPERLINK("https%3A%2F%2Fwww.webofscience.com%2Fwos%2Fwoscc%2Ffull-record%2FWOS:001276287600001","View Full Record in Web of Science")</f>
        <v>View Full Record in Web of Science</v>
      </c>
    </row>
    <row r="266" spans="1:72" x14ac:dyDescent="0.2">
      <c r="A266" s="30" t="s">
        <v>243</v>
      </c>
      <c r="B266" s="30" t="s">
        <v>2311</v>
      </c>
      <c r="C266" s="30" t="s">
        <v>245</v>
      </c>
      <c r="D266" s="30" t="s">
        <v>245</v>
      </c>
      <c r="E266" s="30" t="s">
        <v>245</v>
      </c>
      <c r="F266" s="30" t="s">
        <v>2312</v>
      </c>
      <c r="G266" s="30" t="s">
        <v>245</v>
      </c>
      <c r="H266" s="30" t="s">
        <v>245</v>
      </c>
      <c r="I266" s="30" t="s">
        <v>2313</v>
      </c>
      <c r="J266" s="30" t="s">
        <v>2314</v>
      </c>
      <c r="K266" s="30" t="s">
        <v>245</v>
      </c>
      <c r="L266" s="30" t="s">
        <v>245</v>
      </c>
      <c r="M266" s="30" t="s">
        <v>245</v>
      </c>
      <c r="N266" s="30" t="s">
        <v>245</v>
      </c>
      <c r="O266" s="30" t="s">
        <v>245</v>
      </c>
      <c r="P266" s="30" t="s">
        <v>245</v>
      </c>
      <c r="Q266" s="30" t="s">
        <v>245</v>
      </c>
      <c r="R266" s="30" t="s">
        <v>245</v>
      </c>
      <c r="S266" s="30" t="s">
        <v>245</v>
      </c>
      <c r="T266" s="30" t="s">
        <v>245</v>
      </c>
      <c r="U266" s="30" t="s">
        <v>245</v>
      </c>
      <c r="V266" s="30" t="s">
        <v>245</v>
      </c>
      <c r="W266" s="30" t="s">
        <v>245</v>
      </c>
      <c r="X266" s="30" t="s">
        <v>245</v>
      </c>
      <c r="Y266" s="30" t="s">
        <v>245</v>
      </c>
      <c r="Z266" s="30" t="s">
        <v>245</v>
      </c>
      <c r="AA266" s="30" t="s">
        <v>2315</v>
      </c>
      <c r="AB266" s="30" t="s">
        <v>245</v>
      </c>
      <c r="AC266" s="30" t="s">
        <v>245</v>
      </c>
      <c r="AD266" s="30" t="s">
        <v>245</v>
      </c>
      <c r="AE266" s="30" t="s">
        <v>245</v>
      </c>
      <c r="AF266" s="30" t="s">
        <v>245</v>
      </c>
      <c r="AG266" s="30" t="s">
        <v>245</v>
      </c>
      <c r="AH266" s="30" t="s">
        <v>245</v>
      </c>
      <c r="AI266" s="30" t="s">
        <v>245</v>
      </c>
      <c r="AJ266" s="30" t="s">
        <v>245</v>
      </c>
      <c r="AK266" s="30" t="s">
        <v>245</v>
      </c>
      <c r="AL266" s="30" t="s">
        <v>245</v>
      </c>
      <c r="AM266" s="30" t="s">
        <v>245</v>
      </c>
      <c r="AN266" s="30" t="s">
        <v>245</v>
      </c>
      <c r="AO266" s="30" t="s">
        <v>2316</v>
      </c>
      <c r="AP266" s="30" t="s">
        <v>2317</v>
      </c>
      <c r="AQ266" s="30" t="s">
        <v>245</v>
      </c>
      <c r="AR266" s="30" t="s">
        <v>245</v>
      </c>
      <c r="AS266" s="30" t="s">
        <v>245</v>
      </c>
      <c r="AT266" s="30" t="s">
        <v>435</v>
      </c>
      <c r="AU266" s="30">
        <v>2024</v>
      </c>
      <c r="AV266" s="30">
        <v>21</v>
      </c>
      <c r="AW266" s="30">
        <v>9</v>
      </c>
      <c r="AX266" s="30" t="s">
        <v>245</v>
      </c>
      <c r="AY266" s="30" t="s">
        <v>245</v>
      </c>
      <c r="AZ266" s="30" t="s">
        <v>245</v>
      </c>
      <c r="BA266" s="30" t="s">
        <v>245</v>
      </c>
      <c r="BB266" s="30">
        <v>6759</v>
      </c>
      <c r="BC266" s="30">
        <v>6772</v>
      </c>
      <c r="BD266" s="30" t="s">
        <v>245</v>
      </c>
      <c r="BE266" s="30" t="s">
        <v>2318</v>
      </c>
      <c r="BF266" s="30" t="str">
        <f>HYPERLINK("http://dx.doi.org/10.1007/s13762-023-05430-6","http://dx.doi.org/10.1007/s13762-023-05430-6")</f>
        <v>http://dx.doi.org/10.1007/s13762-023-05430-6</v>
      </c>
      <c r="BG266" s="30" t="s">
        <v>245</v>
      </c>
      <c r="BH266" s="30" t="s">
        <v>824</v>
      </c>
      <c r="BI266" s="30" t="s">
        <v>245</v>
      </c>
      <c r="BJ266" s="30" t="s">
        <v>245</v>
      </c>
      <c r="BK266" s="30" t="s">
        <v>245</v>
      </c>
      <c r="BL266" s="30" t="s">
        <v>245</v>
      </c>
      <c r="BM266" s="30" t="s">
        <v>245</v>
      </c>
      <c r="BN266" s="30" t="s">
        <v>245</v>
      </c>
      <c r="BO266" s="30" t="s">
        <v>245</v>
      </c>
      <c r="BP266" s="30" t="s">
        <v>245</v>
      </c>
      <c r="BQ266" s="30" t="s">
        <v>245</v>
      </c>
      <c r="BR266" s="30" t="s">
        <v>245</v>
      </c>
      <c r="BS266" s="30" t="s">
        <v>2319</v>
      </c>
      <c r="BT266" s="30" t="str">
        <f>HYPERLINK("https%3A%2F%2Fwww.webofscience.com%2Fwos%2Fwoscc%2Ffull-record%2FWOS:001145314100002","View Full Record in Web of Science")</f>
        <v>View Full Record in Web of Science</v>
      </c>
    </row>
    <row r="267" spans="1:72" x14ac:dyDescent="0.2">
      <c r="A267" s="30" t="s">
        <v>243</v>
      </c>
      <c r="B267" s="30" t="s">
        <v>2320</v>
      </c>
      <c r="C267" s="30" t="s">
        <v>245</v>
      </c>
      <c r="D267" s="30" t="s">
        <v>245</v>
      </c>
      <c r="E267" s="30" t="s">
        <v>245</v>
      </c>
      <c r="F267" s="30" t="s">
        <v>2321</v>
      </c>
      <c r="G267" s="30" t="s">
        <v>245</v>
      </c>
      <c r="H267" s="30" t="s">
        <v>245</v>
      </c>
      <c r="I267" s="30" t="s">
        <v>2322</v>
      </c>
      <c r="J267" s="30" t="s">
        <v>541</v>
      </c>
      <c r="K267" s="30" t="s">
        <v>245</v>
      </c>
      <c r="L267" s="30" t="s">
        <v>245</v>
      </c>
      <c r="M267" s="30" t="s">
        <v>245</v>
      </c>
      <c r="N267" s="30" t="s">
        <v>245</v>
      </c>
      <c r="O267" s="30" t="s">
        <v>245</v>
      </c>
      <c r="P267" s="30" t="s">
        <v>245</v>
      </c>
      <c r="Q267" s="30" t="s">
        <v>245</v>
      </c>
      <c r="R267" s="30" t="s">
        <v>245</v>
      </c>
      <c r="S267" s="30" t="s">
        <v>245</v>
      </c>
      <c r="T267" s="30" t="s">
        <v>245</v>
      </c>
      <c r="U267" s="30" t="s">
        <v>245</v>
      </c>
      <c r="V267" s="30" t="s">
        <v>245</v>
      </c>
      <c r="W267" s="30" t="s">
        <v>245</v>
      </c>
      <c r="X267" s="30" t="s">
        <v>245</v>
      </c>
      <c r="Y267" s="30" t="s">
        <v>245</v>
      </c>
      <c r="Z267" s="30" t="s">
        <v>245</v>
      </c>
      <c r="AA267" s="30" t="s">
        <v>2323</v>
      </c>
      <c r="AB267" s="30" t="s">
        <v>245</v>
      </c>
      <c r="AC267" s="30" t="s">
        <v>245</v>
      </c>
      <c r="AD267" s="30" t="s">
        <v>245</v>
      </c>
      <c r="AE267" s="30" t="s">
        <v>245</v>
      </c>
      <c r="AF267" s="30" t="s">
        <v>245</v>
      </c>
      <c r="AG267" s="30" t="s">
        <v>245</v>
      </c>
      <c r="AH267" s="30" t="s">
        <v>245</v>
      </c>
      <c r="AI267" s="30" t="s">
        <v>245</v>
      </c>
      <c r="AJ267" s="30" t="s">
        <v>245</v>
      </c>
      <c r="AK267" s="30" t="s">
        <v>245</v>
      </c>
      <c r="AL267" s="30" t="s">
        <v>245</v>
      </c>
      <c r="AM267" s="30" t="s">
        <v>245</v>
      </c>
      <c r="AN267" s="30" t="s">
        <v>245</v>
      </c>
      <c r="AO267" s="30" t="s">
        <v>544</v>
      </c>
      <c r="AP267" s="30" t="s">
        <v>545</v>
      </c>
      <c r="AQ267" s="30" t="s">
        <v>245</v>
      </c>
      <c r="AR267" s="30" t="s">
        <v>245</v>
      </c>
      <c r="AS267" s="30" t="s">
        <v>245</v>
      </c>
      <c r="AT267" s="30" t="s">
        <v>2324</v>
      </c>
      <c r="AU267" s="30">
        <v>2024</v>
      </c>
      <c r="AV267" s="30">
        <v>370</v>
      </c>
      <c r="AW267" s="30" t="s">
        <v>245</v>
      </c>
      <c r="AX267" s="30" t="s">
        <v>245</v>
      </c>
      <c r="AY267" s="30" t="s">
        <v>245</v>
      </c>
      <c r="AZ267" s="30" t="s">
        <v>245</v>
      </c>
      <c r="BA267" s="30" t="s">
        <v>245</v>
      </c>
      <c r="BB267" s="30" t="s">
        <v>245</v>
      </c>
      <c r="BC267" s="30" t="s">
        <v>245</v>
      </c>
      <c r="BD267" s="30">
        <v>109066</v>
      </c>
      <c r="BE267" s="30" t="s">
        <v>2325</v>
      </c>
      <c r="BF267" s="30" t="str">
        <f>HYPERLINK("http://dx.doi.org/10.1016/j.agee.2024.109066","http://dx.doi.org/10.1016/j.agee.2024.109066")</f>
        <v>http://dx.doi.org/10.1016/j.agee.2024.109066</v>
      </c>
      <c r="BG267" s="30" t="s">
        <v>245</v>
      </c>
      <c r="BH267" s="30" t="s">
        <v>1554</v>
      </c>
      <c r="BI267" s="30" t="s">
        <v>245</v>
      </c>
      <c r="BJ267" s="30" t="s">
        <v>245</v>
      </c>
      <c r="BK267" s="30" t="s">
        <v>245</v>
      </c>
      <c r="BL267" s="30" t="s">
        <v>245</v>
      </c>
      <c r="BM267" s="30" t="s">
        <v>245</v>
      </c>
      <c r="BN267" s="30" t="s">
        <v>245</v>
      </c>
      <c r="BO267" s="30" t="s">
        <v>245</v>
      </c>
      <c r="BP267" s="30" t="s">
        <v>245</v>
      </c>
      <c r="BQ267" s="30" t="s">
        <v>245</v>
      </c>
      <c r="BR267" s="30" t="s">
        <v>245</v>
      </c>
      <c r="BS267" s="30" t="s">
        <v>2326</v>
      </c>
      <c r="BT267" s="30" t="str">
        <f>HYPERLINK("https%3A%2F%2Fwww.webofscience.com%2Fwos%2Fwoscc%2Ffull-record%2FWOS:001240600200001","View Full Record in Web of Science")</f>
        <v>View Full Record in Web of Science</v>
      </c>
    </row>
    <row r="268" spans="1:72" x14ac:dyDescent="0.2">
      <c r="A268" s="30" t="s">
        <v>243</v>
      </c>
      <c r="B268" s="30" t="s">
        <v>2327</v>
      </c>
      <c r="C268" s="30" t="s">
        <v>245</v>
      </c>
      <c r="D268" s="30" t="s">
        <v>245</v>
      </c>
      <c r="E268" s="30" t="s">
        <v>245</v>
      </c>
      <c r="F268" s="30" t="s">
        <v>2328</v>
      </c>
      <c r="G268" s="30" t="s">
        <v>245</v>
      </c>
      <c r="H268" s="30" t="s">
        <v>245</v>
      </c>
      <c r="I268" s="30" t="s">
        <v>2329</v>
      </c>
      <c r="J268" s="30" t="s">
        <v>641</v>
      </c>
      <c r="K268" s="30" t="s">
        <v>245</v>
      </c>
      <c r="L268" s="30" t="s">
        <v>245</v>
      </c>
      <c r="M268" s="30" t="s">
        <v>245</v>
      </c>
      <c r="N268" s="30" t="s">
        <v>245</v>
      </c>
      <c r="O268" s="30" t="s">
        <v>245</v>
      </c>
      <c r="P268" s="30" t="s">
        <v>245</v>
      </c>
      <c r="Q268" s="30" t="s">
        <v>245</v>
      </c>
      <c r="R268" s="30" t="s">
        <v>245</v>
      </c>
      <c r="S268" s="30" t="s">
        <v>245</v>
      </c>
      <c r="T268" s="30" t="s">
        <v>245</v>
      </c>
      <c r="U268" s="30" t="s">
        <v>245</v>
      </c>
      <c r="V268" s="30" t="s">
        <v>245</v>
      </c>
      <c r="W268" s="30" t="s">
        <v>245</v>
      </c>
      <c r="X268" s="30" t="s">
        <v>245</v>
      </c>
      <c r="Y268" s="30" t="s">
        <v>245</v>
      </c>
      <c r="Z268" s="30" t="s">
        <v>245</v>
      </c>
      <c r="AA268" s="30" t="s">
        <v>2330</v>
      </c>
      <c r="AB268" s="30" t="s">
        <v>2331</v>
      </c>
      <c r="AC268" s="30" t="s">
        <v>245</v>
      </c>
      <c r="AD268" s="30" t="s">
        <v>245</v>
      </c>
      <c r="AE268" s="30" t="s">
        <v>245</v>
      </c>
      <c r="AF268" s="30" t="s">
        <v>245</v>
      </c>
      <c r="AG268" s="30" t="s">
        <v>245</v>
      </c>
      <c r="AH268" s="30" t="s">
        <v>245</v>
      </c>
      <c r="AI268" s="30" t="s">
        <v>245</v>
      </c>
      <c r="AJ268" s="30" t="s">
        <v>245</v>
      </c>
      <c r="AK268" s="30" t="s">
        <v>245</v>
      </c>
      <c r="AL268" s="30" t="s">
        <v>245</v>
      </c>
      <c r="AM268" s="30" t="s">
        <v>245</v>
      </c>
      <c r="AN268" s="30" t="s">
        <v>245</v>
      </c>
      <c r="AO268" s="30" t="s">
        <v>644</v>
      </c>
      <c r="AP268" s="30" t="s">
        <v>645</v>
      </c>
      <c r="AQ268" s="30" t="s">
        <v>245</v>
      </c>
      <c r="AR268" s="30" t="s">
        <v>245</v>
      </c>
      <c r="AS268" s="30" t="s">
        <v>245</v>
      </c>
      <c r="AT268" s="30" t="s">
        <v>1786</v>
      </c>
      <c r="AU268" s="30">
        <v>2009</v>
      </c>
      <c r="AV268" s="30">
        <v>38</v>
      </c>
      <c r="AW268" s="30">
        <v>1</v>
      </c>
      <c r="AX268" s="30" t="s">
        <v>245</v>
      </c>
      <c r="AY268" s="30" t="s">
        <v>245</v>
      </c>
      <c r="AZ268" s="30" t="s">
        <v>245</v>
      </c>
      <c r="BA268" s="30" t="s">
        <v>245</v>
      </c>
      <c r="BB268" s="30">
        <v>27</v>
      </c>
      <c r="BC268" s="30">
        <v>35</v>
      </c>
      <c r="BD268" s="30" t="s">
        <v>245</v>
      </c>
      <c r="BE268" s="30" t="s">
        <v>2332</v>
      </c>
      <c r="BF268" s="30" t="str">
        <f>HYPERLINK("http://dx.doi.org/10.2134/jeq2008.0034","http://dx.doi.org/10.2134/jeq2008.0034")</f>
        <v>http://dx.doi.org/10.2134/jeq2008.0034</v>
      </c>
      <c r="BG268" s="30" t="s">
        <v>245</v>
      </c>
      <c r="BH268" s="30" t="s">
        <v>245</v>
      </c>
      <c r="BI268" s="30" t="s">
        <v>245</v>
      </c>
      <c r="BJ268" s="30" t="s">
        <v>245</v>
      </c>
      <c r="BK268" s="30" t="s">
        <v>245</v>
      </c>
      <c r="BL268" s="30" t="s">
        <v>245</v>
      </c>
      <c r="BM268" s="30" t="s">
        <v>245</v>
      </c>
      <c r="BN268" s="30">
        <v>19141792</v>
      </c>
      <c r="BO268" s="30" t="s">
        <v>245</v>
      </c>
      <c r="BP268" s="30" t="s">
        <v>245</v>
      </c>
      <c r="BQ268" s="30" t="s">
        <v>245</v>
      </c>
      <c r="BR268" s="30" t="s">
        <v>245</v>
      </c>
      <c r="BS268" s="30" t="s">
        <v>2333</v>
      </c>
      <c r="BT268" s="30" t="str">
        <f>HYPERLINK("https%3A%2F%2Fwww.webofscience.com%2Fwos%2Fwoscc%2Ffull-record%2FWOS:000262483500005","View Full Record in Web of Science")</f>
        <v>View Full Record in Web of Science</v>
      </c>
    </row>
    <row r="269" spans="1:72" x14ac:dyDescent="0.2">
      <c r="A269" s="30" t="s">
        <v>243</v>
      </c>
      <c r="B269" s="30" t="s">
        <v>2334</v>
      </c>
      <c r="C269" s="30" t="s">
        <v>245</v>
      </c>
      <c r="D269" s="30" t="s">
        <v>245</v>
      </c>
      <c r="E269" s="30" t="s">
        <v>245</v>
      </c>
      <c r="F269" s="30" t="s">
        <v>2335</v>
      </c>
      <c r="G269" s="30" t="s">
        <v>245</v>
      </c>
      <c r="H269" s="30" t="s">
        <v>245</v>
      </c>
      <c r="I269" s="30" t="s">
        <v>2336</v>
      </c>
      <c r="J269" s="30" t="s">
        <v>1563</v>
      </c>
      <c r="K269" s="30" t="s">
        <v>245</v>
      </c>
      <c r="L269" s="30" t="s">
        <v>245</v>
      </c>
      <c r="M269" s="30" t="s">
        <v>245</v>
      </c>
      <c r="N269" s="30" t="s">
        <v>245</v>
      </c>
      <c r="O269" s="30" t="s">
        <v>245</v>
      </c>
      <c r="P269" s="30" t="s">
        <v>245</v>
      </c>
      <c r="Q269" s="30" t="s">
        <v>245</v>
      </c>
      <c r="R269" s="30" t="s">
        <v>245</v>
      </c>
      <c r="S269" s="30" t="s">
        <v>245</v>
      </c>
      <c r="T269" s="30" t="s">
        <v>245</v>
      </c>
      <c r="U269" s="30" t="s">
        <v>245</v>
      </c>
      <c r="V269" s="30" t="s">
        <v>245</v>
      </c>
      <c r="W269" s="30" t="s">
        <v>245</v>
      </c>
      <c r="X269" s="30" t="s">
        <v>245</v>
      </c>
      <c r="Y269" s="30" t="s">
        <v>245</v>
      </c>
      <c r="Z269" s="30" t="s">
        <v>245</v>
      </c>
      <c r="AA269" s="30" t="s">
        <v>2337</v>
      </c>
      <c r="AB269" s="30" t="s">
        <v>2338</v>
      </c>
      <c r="AC269" s="30" t="s">
        <v>245</v>
      </c>
      <c r="AD269" s="30" t="s">
        <v>245</v>
      </c>
      <c r="AE269" s="30" t="s">
        <v>245</v>
      </c>
      <c r="AF269" s="30" t="s">
        <v>245</v>
      </c>
      <c r="AG269" s="30" t="s">
        <v>245</v>
      </c>
      <c r="AH269" s="30" t="s">
        <v>245</v>
      </c>
      <c r="AI269" s="30" t="s">
        <v>245</v>
      </c>
      <c r="AJ269" s="30" t="s">
        <v>245</v>
      </c>
      <c r="AK269" s="30" t="s">
        <v>245</v>
      </c>
      <c r="AL269" s="30" t="s">
        <v>245</v>
      </c>
      <c r="AM269" s="30" t="s">
        <v>245</v>
      </c>
      <c r="AN269" s="30" t="s">
        <v>245</v>
      </c>
      <c r="AO269" s="30" t="s">
        <v>1564</v>
      </c>
      <c r="AP269" s="30" t="s">
        <v>1565</v>
      </c>
      <c r="AQ269" s="30" t="s">
        <v>245</v>
      </c>
      <c r="AR269" s="30" t="s">
        <v>245</v>
      </c>
      <c r="AS269" s="30" t="s">
        <v>245</v>
      </c>
      <c r="AT269" s="30" t="s">
        <v>365</v>
      </c>
      <c r="AU269" s="30">
        <v>2012</v>
      </c>
      <c r="AV269" s="30">
        <v>223</v>
      </c>
      <c r="AW269" s="30">
        <v>2</v>
      </c>
      <c r="AX269" s="30" t="s">
        <v>245</v>
      </c>
      <c r="AY269" s="30" t="s">
        <v>245</v>
      </c>
      <c r="AZ269" s="30" t="s">
        <v>245</v>
      </c>
      <c r="BA269" s="30" t="s">
        <v>245</v>
      </c>
      <c r="BB269" s="30">
        <v>755</v>
      </c>
      <c r="BC269" s="30">
        <v>763</v>
      </c>
      <c r="BD269" s="30" t="s">
        <v>245</v>
      </c>
      <c r="BE269" s="30" t="s">
        <v>2339</v>
      </c>
      <c r="BF269" s="30" t="str">
        <f>HYPERLINK("http://dx.doi.org/10.1007/s11270-011-0899-1","http://dx.doi.org/10.1007/s11270-011-0899-1")</f>
        <v>http://dx.doi.org/10.1007/s11270-011-0899-1</v>
      </c>
      <c r="BG269" s="30" t="s">
        <v>245</v>
      </c>
      <c r="BH269" s="30" t="s">
        <v>245</v>
      </c>
      <c r="BI269" s="30" t="s">
        <v>245</v>
      </c>
      <c r="BJ269" s="30" t="s">
        <v>245</v>
      </c>
      <c r="BK269" s="30" t="s">
        <v>245</v>
      </c>
      <c r="BL269" s="30" t="s">
        <v>245</v>
      </c>
      <c r="BM269" s="30" t="s">
        <v>245</v>
      </c>
      <c r="BN269" s="30" t="s">
        <v>245</v>
      </c>
      <c r="BO269" s="30" t="s">
        <v>245</v>
      </c>
      <c r="BP269" s="30" t="s">
        <v>245</v>
      </c>
      <c r="BQ269" s="30" t="s">
        <v>245</v>
      </c>
      <c r="BR269" s="30" t="s">
        <v>245</v>
      </c>
      <c r="BS269" s="30" t="s">
        <v>2340</v>
      </c>
      <c r="BT269" s="30" t="str">
        <f>HYPERLINK("https%3A%2F%2Fwww.webofscience.com%2Fwos%2Fwoscc%2Ffull-record%2FWOS:000299137000023","View Full Record in Web of Science")</f>
        <v>View Full Record in Web of Science</v>
      </c>
    </row>
    <row r="270" spans="1:72" x14ac:dyDescent="0.2">
      <c r="A270" s="30" t="s">
        <v>243</v>
      </c>
      <c r="B270" s="30" t="s">
        <v>2341</v>
      </c>
      <c r="C270" s="30" t="s">
        <v>245</v>
      </c>
      <c r="D270" s="30" t="s">
        <v>245</v>
      </c>
      <c r="E270" s="30" t="s">
        <v>245</v>
      </c>
      <c r="F270" s="30" t="s">
        <v>2342</v>
      </c>
      <c r="G270" s="30" t="s">
        <v>245</v>
      </c>
      <c r="H270" s="30" t="s">
        <v>245</v>
      </c>
      <c r="I270" s="30" t="s">
        <v>2343</v>
      </c>
      <c r="J270" s="30" t="s">
        <v>1516</v>
      </c>
      <c r="K270" s="30" t="s">
        <v>245</v>
      </c>
      <c r="L270" s="30" t="s">
        <v>245</v>
      </c>
      <c r="M270" s="30" t="s">
        <v>245</v>
      </c>
      <c r="N270" s="30" t="s">
        <v>245</v>
      </c>
      <c r="O270" s="30" t="s">
        <v>245</v>
      </c>
      <c r="P270" s="30" t="s">
        <v>245</v>
      </c>
      <c r="Q270" s="30" t="s">
        <v>245</v>
      </c>
      <c r="R270" s="30" t="s">
        <v>245</v>
      </c>
      <c r="S270" s="30" t="s">
        <v>245</v>
      </c>
      <c r="T270" s="30" t="s">
        <v>245</v>
      </c>
      <c r="U270" s="30" t="s">
        <v>245</v>
      </c>
      <c r="V270" s="30" t="s">
        <v>245</v>
      </c>
      <c r="W270" s="30" t="s">
        <v>245</v>
      </c>
      <c r="X270" s="30" t="s">
        <v>245</v>
      </c>
      <c r="Y270" s="30" t="s">
        <v>245</v>
      </c>
      <c r="Z270" s="30" t="s">
        <v>245</v>
      </c>
      <c r="AA270" s="30" t="s">
        <v>2344</v>
      </c>
      <c r="AB270" s="30" t="s">
        <v>2345</v>
      </c>
      <c r="AC270" s="30" t="s">
        <v>245</v>
      </c>
      <c r="AD270" s="30" t="s">
        <v>245</v>
      </c>
      <c r="AE270" s="30" t="s">
        <v>245</v>
      </c>
      <c r="AF270" s="30" t="s">
        <v>245</v>
      </c>
      <c r="AG270" s="30" t="s">
        <v>245</v>
      </c>
      <c r="AH270" s="30" t="s">
        <v>245</v>
      </c>
      <c r="AI270" s="30" t="s">
        <v>245</v>
      </c>
      <c r="AJ270" s="30" t="s">
        <v>245</v>
      </c>
      <c r="AK270" s="30" t="s">
        <v>245</v>
      </c>
      <c r="AL270" s="30" t="s">
        <v>245</v>
      </c>
      <c r="AM270" s="30" t="s">
        <v>245</v>
      </c>
      <c r="AN270" s="30" t="s">
        <v>245</v>
      </c>
      <c r="AO270" s="30" t="s">
        <v>1519</v>
      </c>
      <c r="AP270" s="30" t="s">
        <v>1520</v>
      </c>
      <c r="AQ270" s="30" t="s">
        <v>245</v>
      </c>
      <c r="AR270" s="30" t="s">
        <v>245</v>
      </c>
      <c r="AS270" s="30" t="s">
        <v>245</v>
      </c>
      <c r="AT270" s="30" t="s">
        <v>2346</v>
      </c>
      <c r="AU270" s="30">
        <v>2022</v>
      </c>
      <c r="AV270" s="30">
        <v>19</v>
      </c>
      <c r="AW270" s="30">
        <v>23</v>
      </c>
      <c r="AX270" s="30" t="s">
        <v>245</v>
      </c>
      <c r="AY270" s="30" t="s">
        <v>245</v>
      </c>
      <c r="AZ270" s="30" t="s">
        <v>245</v>
      </c>
      <c r="BA270" s="30" t="s">
        <v>245</v>
      </c>
      <c r="BB270" s="30">
        <v>5483</v>
      </c>
      <c r="BC270" s="30">
        <v>5497</v>
      </c>
      <c r="BD270" s="30" t="s">
        <v>245</v>
      </c>
      <c r="BE270" s="30" t="s">
        <v>2347</v>
      </c>
      <c r="BF270" s="30" t="str">
        <f>HYPERLINK("http://dx.doi.org/10.5194/bg-19-5483-2022","http://dx.doi.org/10.5194/bg-19-5483-2022")</f>
        <v>http://dx.doi.org/10.5194/bg-19-5483-2022</v>
      </c>
      <c r="BG270" s="30" t="s">
        <v>245</v>
      </c>
      <c r="BH270" s="30" t="s">
        <v>245</v>
      </c>
      <c r="BI270" s="30" t="s">
        <v>245</v>
      </c>
      <c r="BJ270" s="30" t="s">
        <v>245</v>
      </c>
      <c r="BK270" s="30" t="s">
        <v>245</v>
      </c>
      <c r="BL270" s="30" t="s">
        <v>245</v>
      </c>
      <c r="BM270" s="30" t="s">
        <v>245</v>
      </c>
      <c r="BN270" s="30" t="s">
        <v>245</v>
      </c>
      <c r="BO270" s="30" t="s">
        <v>245</v>
      </c>
      <c r="BP270" s="30" t="s">
        <v>245</v>
      </c>
      <c r="BQ270" s="30" t="s">
        <v>245</v>
      </c>
      <c r="BR270" s="30" t="s">
        <v>245</v>
      </c>
      <c r="BS270" s="30" t="s">
        <v>2348</v>
      </c>
      <c r="BT270" s="30" t="str">
        <f>HYPERLINK("https%3A%2F%2Fwww.webofscience.com%2Fwos%2Fwoscc%2Ffull-record%2FWOS:000894502100001","View Full Record in Web of Science")</f>
        <v>View Full Record in Web of Science</v>
      </c>
    </row>
    <row r="271" spans="1:72" x14ac:dyDescent="0.2">
      <c r="A271" s="30" t="s">
        <v>243</v>
      </c>
      <c r="B271" s="30" t="s">
        <v>2349</v>
      </c>
      <c r="C271" s="30" t="s">
        <v>245</v>
      </c>
      <c r="D271" s="30" t="s">
        <v>245</v>
      </c>
      <c r="E271" s="30" t="s">
        <v>245</v>
      </c>
      <c r="F271" s="30" t="s">
        <v>2350</v>
      </c>
      <c r="G271" s="30" t="s">
        <v>245</v>
      </c>
      <c r="H271" s="30" t="s">
        <v>245</v>
      </c>
      <c r="I271" s="30" t="s">
        <v>2351</v>
      </c>
      <c r="J271" s="30" t="s">
        <v>1516</v>
      </c>
      <c r="K271" s="30" t="s">
        <v>245</v>
      </c>
      <c r="L271" s="30" t="s">
        <v>245</v>
      </c>
      <c r="M271" s="30" t="s">
        <v>245</v>
      </c>
      <c r="N271" s="30" t="s">
        <v>245</v>
      </c>
      <c r="O271" s="30" t="s">
        <v>245</v>
      </c>
      <c r="P271" s="30" t="s">
        <v>245</v>
      </c>
      <c r="Q271" s="30" t="s">
        <v>245</v>
      </c>
      <c r="R271" s="30" t="s">
        <v>245</v>
      </c>
      <c r="S271" s="30" t="s">
        <v>245</v>
      </c>
      <c r="T271" s="30" t="s">
        <v>245</v>
      </c>
      <c r="U271" s="30" t="s">
        <v>245</v>
      </c>
      <c r="V271" s="30" t="s">
        <v>245</v>
      </c>
      <c r="W271" s="30" t="s">
        <v>245</v>
      </c>
      <c r="X271" s="30" t="s">
        <v>245</v>
      </c>
      <c r="Y271" s="30" t="s">
        <v>245</v>
      </c>
      <c r="Z271" s="30" t="s">
        <v>245</v>
      </c>
      <c r="AA271" s="30" t="s">
        <v>2352</v>
      </c>
      <c r="AB271" s="30" t="s">
        <v>2353</v>
      </c>
      <c r="AC271" s="30" t="s">
        <v>245</v>
      </c>
      <c r="AD271" s="30" t="s">
        <v>245</v>
      </c>
      <c r="AE271" s="30" t="s">
        <v>245</v>
      </c>
      <c r="AF271" s="30" t="s">
        <v>245</v>
      </c>
      <c r="AG271" s="30" t="s">
        <v>245</v>
      </c>
      <c r="AH271" s="30" t="s">
        <v>245</v>
      </c>
      <c r="AI271" s="30" t="s">
        <v>245</v>
      </c>
      <c r="AJ271" s="30" t="s">
        <v>245</v>
      </c>
      <c r="AK271" s="30" t="s">
        <v>245</v>
      </c>
      <c r="AL271" s="30" t="s">
        <v>245</v>
      </c>
      <c r="AM271" s="30" t="s">
        <v>245</v>
      </c>
      <c r="AN271" s="30" t="s">
        <v>245</v>
      </c>
      <c r="AO271" s="30" t="s">
        <v>1519</v>
      </c>
      <c r="AP271" s="30" t="s">
        <v>1520</v>
      </c>
      <c r="AQ271" s="30" t="s">
        <v>245</v>
      </c>
      <c r="AR271" s="30" t="s">
        <v>245</v>
      </c>
      <c r="AS271" s="30" t="s">
        <v>245</v>
      </c>
      <c r="AT271" s="30" t="s">
        <v>245</v>
      </c>
      <c r="AU271" s="30">
        <v>2012</v>
      </c>
      <c r="AV271" s="30">
        <v>9</v>
      </c>
      <c r="AW271" s="30">
        <v>1</v>
      </c>
      <c r="AX271" s="30" t="s">
        <v>245</v>
      </c>
      <c r="AY271" s="30" t="s">
        <v>245</v>
      </c>
      <c r="AZ271" s="30" t="s">
        <v>245</v>
      </c>
      <c r="BA271" s="30" t="s">
        <v>245</v>
      </c>
      <c r="BB271" s="30">
        <v>403</v>
      </c>
      <c r="BC271" s="30">
        <v>422</v>
      </c>
      <c r="BD271" s="30" t="s">
        <v>245</v>
      </c>
      <c r="BE271" s="30" t="s">
        <v>2354</v>
      </c>
      <c r="BF271" s="30" t="str">
        <f>HYPERLINK("http://dx.doi.org/10.5194/bg-9-403-2012","http://dx.doi.org/10.5194/bg-9-403-2012")</f>
        <v>http://dx.doi.org/10.5194/bg-9-403-2012</v>
      </c>
      <c r="BG271" s="30" t="s">
        <v>245</v>
      </c>
      <c r="BH271" s="30" t="s">
        <v>245</v>
      </c>
      <c r="BI271" s="30" t="s">
        <v>245</v>
      </c>
      <c r="BJ271" s="30" t="s">
        <v>245</v>
      </c>
      <c r="BK271" s="30" t="s">
        <v>245</v>
      </c>
      <c r="BL271" s="30" t="s">
        <v>245</v>
      </c>
      <c r="BM271" s="30" t="s">
        <v>245</v>
      </c>
      <c r="BN271" s="30" t="s">
        <v>245</v>
      </c>
      <c r="BO271" s="30" t="s">
        <v>245</v>
      </c>
      <c r="BP271" s="30" t="s">
        <v>245</v>
      </c>
      <c r="BQ271" s="30" t="s">
        <v>245</v>
      </c>
      <c r="BR271" s="30" t="s">
        <v>245</v>
      </c>
      <c r="BS271" s="30" t="s">
        <v>2355</v>
      </c>
      <c r="BT271" s="30" t="str">
        <f>HYPERLINK("https%3A%2F%2Fwww.webofscience.com%2Fwos%2Fwoscc%2Ffull-record%2FWOS:000300229000028","View Full Record in Web of Science")</f>
        <v>View Full Record in Web of Science</v>
      </c>
    </row>
    <row r="272" spans="1:72" x14ac:dyDescent="0.2">
      <c r="A272" s="30" t="s">
        <v>243</v>
      </c>
      <c r="B272" s="30" t="s">
        <v>2356</v>
      </c>
      <c r="C272" s="30" t="s">
        <v>245</v>
      </c>
      <c r="D272" s="30" t="s">
        <v>245</v>
      </c>
      <c r="E272" s="30" t="s">
        <v>245</v>
      </c>
      <c r="F272" s="30" t="s">
        <v>2357</v>
      </c>
      <c r="G272" s="30" t="s">
        <v>245</v>
      </c>
      <c r="H272" s="30" t="s">
        <v>245</v>
      </c>
      <c r="I272" s="30" t="s">
        <v>2358</v>
      </c>
      <c r="J272" s="30" t="s">
        <v>2359</v>
      </c>
      <c r="K272" s="30" t="s">
        <v>245</v>
      </c>
      <c r="L272" s="30" t="s">
        <v>245</v>
      </c>
      <c r="M272" s="30" t="s">
        <v>245</v>
      </c>
      <c r="N272" s="30" t="s">
        <v>245</v>
      </c>
      <c r="O272" s="30" t="s">
        <v>245</v>
      </c>
      <c r="P272" s="30" t="s">
        <v>245</v>
      </c>
      <c r="Q272" s="30" t="s">
        <v>245</v>
      </c>
      <c r="R272" s="30" t="s">
        <v>245</v>
      </c>
      <c r="S272" s="30" t="s">
        <v>245</v>
      </c>
      <c r="T272" s="30" t="s">
        <v>245</v>
      </c>
      <c r="U272" s="30" t="s">
        <v>245</v>
      </c>
      <c r="V272" s="30" t="s">
        <v>245</v>
      </c>
      <c r="W272" s="30" t="s">
        <v>245</v>
      </c>
      <c r="X272" s="30" t="s">
        <v>245</v>
      </c>
      <c r="Y272" s="30" t="s">
        <v>245</v>
      </c>
      <c r="Z272" s="30" t="s">
        <v>245</v>
      </c>
      <c r="AA272" s="30" t="s">
        <v>245</v>
      </c>
      <c r="AB272" s="30" t="s">
        <v>245</v>
      </c>
      <c r="AC272" s="30" t="s">
        <v>245</v>
      </c>
      <c r="AD272" s="30" t="s">
        <v>245</v>
      </c>
      <c r="AE272" s="30" t="s">
        <v>245</v>
      </c>
      <c r="AF272" s="30" t="s">
        <v>245</v>
      </c>
      <c r="AG272" s="30" t="s">
        <v>245</v>
      </c>
      <c r="AH272" s="30" t="s">
        <v>245</v>
      </c>
      <c r="AI272" s="30" t="s">
        <v>245</v>
      </c>
      <c r="AJ272" s="30" t="s">
        <v>245</v>
      </c>
      <c r="AK272" s="30" t="s">
        <v>245</v>
      </c>
      <c r="AL272" s="30" t="s">
        <v>245</v>
      </c>
      <c r="AM272" s="30" t="s">
        <v>245</v>
      </c>
      <c r="AN272" s="30" t="s">
        <v>245</v>
      </c>
      <c r="AO272" s="30" t="s">
        <v>2360</v>
      </c>
      <c r="AP272" s="30" t="s">
        <v>245</v>
      </c>
      <c r="AQ272" s="30" t="s">
        <v>245</v>
      </c>
      <c r="AR272" s="30" t="s">
        <v>245</v>
      </c>
      <c r="AS272" s="30" t="s">
        <v>245</v>
      </c>
      <c r="AT272" s="30" t="s">
        <v>487</v>
      </c>
      <c r="AU272" s="30">
        <v>2021</v>
      </c>
      <c r="AV272" s="30">
        <v>3</v>
      </c>
      <c r="AW272" s="30" t="s">
        <v>245</v>
      </c>
      <c r="AX272" s="30" t="s">
        <v>245</v>
      </c>
      <c r="AY272" s="30" t="s">
        <v>245</v>
      </c>
      <c r="AZ272" s="30" t="s">
        <v>245</v>
      </c>
      <c r="BA272" s="30" t="s">
        <v>245</v>
      </c>
      <c r="BB272" s="30" t="s">
        <v>245</v>
      </c>
      <c r="BC272" s="30" t="s">
        <v>245</v>
      </c>
      <c r="BD272" s="30">
        <v>100096</v>
      </c>
      <c r="BE272" s="30" t="s">
        <v>2361</v>
      </c>
      <c r="BF272" s="30" t="str">
        <f>HYPERLINK("http://dx.doi.org/10.1016/j.jafr.2020.100096","http://dx.doi.org/10.1016/j.jafr.2020.100096")</f>
        <v>http://dx.doi.org/10.1016/j.jafr.2020.100096</v>
      </c>
      <c r="BG272" s="30" t="s">
        <v>245</v>
      </c>
      <c r="BH272" s="30" t="s">
        <v>245</v>
      </c>
      <c r="BI272" s="30" t="s">
        <v>245</v>
      </c>
      <c r="BJ272" s="30" t="s">
        <v>245</v>
      </c>
      <c r="BK272" s="30" t="s">
        <v>245</v>
      </c>
      <c r="BL272" s="30" t="s">
        <v>245</v>
      </c>
      <c r="BM272" s="30" t="s">
        <v>245</v>
      </c>
      <c r="BN272" s="30" t="s">
        <v>245</v>
      </c>
      <c r="BO272" s="30" t="s">
        <v>245</v>
      </c>
      <c r="BP272" s="30" t="s">
        <v>245</v>
      </c>
      <c r="BQ272" s="30" t="s">
        <v>245</v>
      </c>
      <c r="BR272" s="30" t="s">
        <v>245</v>
      </c>
      <c r="BS272" s="30" t="s">
        <v>2362</v>
      </c>
      <c r="BT272" s="30" t="str">
        <f>HYPERLINK("https%3A%2F%2Fwww.webofscience.com%2Fwos%2Fwoscc%2Ffull-record%2FWOS:000696062500005","View Full Record in Web of Science")</f>
        <v>View Full Record in Web of Science</v>
      </c>
    </row>
    <row r="273" spans="1:72" x14ac:dyDescent="0.2">
      <c r="A273" s="30" t="s">
        <v>243</v>
      </c>
      <c r="B273" s="30" t="s">
        <v>2363</v>
      </c>
      <c r="C273" s="30" t="s">
        <v>245</v>
      </c>
      <c r="D273" s="30" t="s">
        <v>245</v>
      </c>
      <c r="E273" s="30" t="s">
        <v>245</v>
      </c>
      <c r="F273" s="30" t="s">
        <v>2364</v>
      </c>
      <c r="G273" s="30" t="s">
        <v>245</v>
      </c>
      <c r="H273" s="30" t="s">
        <v>245</v>
      </c>
      <c r="I273" s="30" t="s">
        <v>2365</v>
      </c>
      <c r="J273" s="30" t="s">
        <v>541</v>
      </c>
      <c r="K273" s="30" t="s">
        <v>245</v>
      </c>
      <c r="L273" s="30" t="s">
        <v>245</v>
      </c>
      <c r="M273" s="30" t="s">
        <v>245</v>
      </c>
      <c r="N273" s="30" t="s">
        <v>245</v>
      </c>
      <c r="O273" s="30" t="s">
        <v>245</v>
      </c>
      <c r="P273" s="30" t="s">
        <v>245</v>
      </c>
      <c r="Q273" s="30" t="s">
        <v>245</v>
      </c>
      <c r="R273" s="30" t="s">
        <v>245</v>
      </c>
      <c r="S273" s="30" t="s">
        <v>245</v>
      </c>
      <c r="T273" s="30" t="s">
        <v>245</v>
      </c>
      <c r="U273" s="30" t="s">
        <v>245</v>
      </c>
      <c r="V273" s="30" t="s">
        <v>245</v>
      </c>
      <c r="W273" s="30" t="s">
        <v>245</v>
      </c>
      <c r="X273" s="30" t="s">
        <v>245</v>
      </c>
      <c r="Y273" s="30" t="s">
        <v>245</v>
      </c>
      <c r="Z273" s="30" t="s">
        <v>245</v>
      </c>
      <c r="AA273" s="30" t="s">
        <v>2366</v>
      </c>
      <c r="AB273" s="30" t="s">
        <v>2367</v>
      </c>
      <c r="AC273" s="30" t="s">
        <v>245</v>
      </c>
      <c r="AD273" s="30" t="s">
        <v>245</v>
      </c>
      <c r="AE273" s="30" t="s">
        <v>245</v>
      </c>
      <c r="AF273" s="30" t="s">
        <v>245</v>
      </c>
      <c r="AG273" s="30" t="s">
        <v>245</v>
      </c>
      <c r="AH273" s="30" t="s">
        <v>245</v>
      </c>
      <c r="AI273" s="30" t="s">
        <v>245</v>
      </c>
      <c r="AJ273" s="30" t="s">
        <v>245</v>
      </c>
      <c r="AK273" s="30" t="s">
        <v>245</v>
      </c>
      <c r="AL273" s="30" t="s">
        <v>245</v>
      </c>
      <c r="AM273" s="30" t="s">
        <v>245</v>
      </c>
      <c r="AN273" s="30" t="s">
        <v>245</v>
      </c>
      <c r="AO273" s="30" t="s">
        <v>544</v>
      </c>
      <c r="AP273" s="30" t="s">
        <v>545</v>
      </c>
      <c r="AQ273" s="30" t="s">
        <v>245</v>
      </c>
      <c r="AR273" s="30" t="s">
        <v>245</v>
      </c>
      <c r="AS273" s="30" t="s">
        <v>245</v>
      </c>
      <c r="AT273" s="30" t="s">
        <v>957</v>
      </c>
      <c r="AU273" s="30">
        <v>2015</v>
      </c>
      <c r="AV273" s="30">
        <v>209</v>
      </c>
      <c r="AW273" s="30" t="s">
        <v>245</v>
      </c>
      <c r="AX273" s="30" t="s">
        <v>245</v>
      </c>
      <c r="AY273" s="30" t="s">
        <v>245</v>
      </c>
      <c r="AZ273" s="30" t="s">
        <v>298</v>
      </c>
      <c r="BA273" s="30" t="s">
        <v>245</v>
      </c>
      <c r="BB273" s="30">
        <v>108</v>
      </c>
      <c r="BC273" s="30">
        <v>124</v>
      </c>
      <c r="BD273" s="30" t="s">
        <v>245</v>
      </c>
      <c r="BE273" s="30" t="s">
        <v>2368</v>
      </c>
      <c r="BF273" s="30" t="str">
        <f>HYPERLINK("http://dx.doi.org/10.1016/j.agee.2015.04.035","http://dx.doi.org/10.1016/j.agee.2015.04.035")</f>
        <v>http://dx.doi.org/10.1016/j.agee.2015.04.035</v>
      </c>
      <c r="BG273" s="30" t="s">
        <v>245</v>
      </c>
      <c r="BH273" s="30" t="s">
        <v>245</v>
      </c>
      <c r="BI273" s="30" t="s">
        <v>245</v>
      </c>
      <c r="BJ273" s="30" t="s">
        <v>245</v>
      </c>
      <c r="BK273" s="30" t="s">
        <v>245</v>
      </c>
      <c r="BL273" s="30" t="s">
        <v>245</v>
      </c>
      <c r="BM273" s="30" t="s">
        <v>245</v>
      </c>
      <c r="BN273" s="30" t="s">
        <v>245</v>
      </c>
      <c r="BO273" s="30" t="s">
        <v>245</v>
      </c>
      <c r="BP273" s="30" t="s">
        <v>245</v>
      </c>
      <c r="BQ273" s="30" t="s">
        <v>245</v>
      </c>
      <c r="BR273" s="30" t="s">
        <v>245</v>
      </c>
      <c r="BS273" s="30" t="s">
        <v>2369</v>
      </c>
      <c r="BT273" s="30" t="str">
        <f>HYPERLINK("https%3A%2F%2Fwww.webofscience.com%2Fwos%2Fwoscc%2Ffull-record%2FWOS:000358463000011","View Full Record in Web of Science")</f>
        <v>View Full Record in Web of Science</v>
      </c>
    </row>
    <row r="274" spans="1:72" x14ac:dyDescent="0.2">
      <c r="A274" s="30" t="s">
        <v>243</v>
      </c>
      <c r="B274" s="30" t="s">
        <v>2370</v>
      </c>
      <c r="C274" s="30" t="s">
        <v>245</v>
      </c>
      <c r="D274" s="30" t="s">
        <v>245</v>
      </c>
      <c r="E274" s="30" t="s">
        <v>245</v>
      </c>
      <c r="F274" s="30" t="s">
        <v>2371</v>
      </c>
      <c r="G274" s="30" t="s">
        <v>245</v>
      </c>
      <c r="H274" s="30" t="s">
        <v>245</v>
      </c>
      <c r="I274" s="30" t="s">
        <v>2372</v>
      </c>
      <c r="J274" s="30" t="s">
        <v>413</v>
      </c>
      <c r="K274" s="30" t="s">
        <v>245</v>
      </c>
      <c r="L274" s="30" t="s">
        <v>245</v>
      </c>
      <c r="M274" s="30" t="s">
        <v>245</v>
      </c>
      <c r="N274" s="30" t="s">
        <v>245</v>
      </c>
      <c r="O274" s="30" t="s">
        <v>245</v>
      </c>
      <c r="P274" s="30" t="s">
        <v>245</v>
      </c>
      <c r="Q274" s="30" t="s">
        <v>245</v>
      </c>
      <c r="R274" s="30" t="s">
        <v>245</v>
      </c>
      <c r="S274" s="30" t="s">
        <v>245</v>
      </c>
      <c r="T274" s="30" t="s">
        <v>245</v>
      </c>
      <c r="U274" s="30" t="s">
        <v>245</v>
      </c>
      <c r="V274" s="30" t="s">
        <v>245</v>
      </c>
      <c r="W274" s="30" t="s">
        <v>245</v>
      </c>
      <c r="X274" s="30" t="s">
        <v>245</v>
      </c>
      <c r="Y274" s="30" t="s">
        <v>245</v>
      </c>
      <c r="Z274" s="30" t="s">
        <v>245</v>
      </c>
      <c r="AA274" s="30" t="s">
        <v>2373</v>
      </c>
      <c r="AB274" s="30" t="s">
        <v>2374</v>
      </c>
      <c r="AC274" s="30" t="s">
        <v>245</v>
      </c>
      <c r="AD274" s="30" t="s">
        <v>245</v>
      </c>
      <c r="AE274" s="30" t="s">
        <v>245</v>
      </c>
      <c r="AF274" s="30" t="s">
        <v>245</v>
      </c>
      <c r="AG274" s="30" t="s">
        <v>245</v>
      </c>
      <c r="AH274" s="30" t="s">
        <v>245</v>
      </c>
      <c r="AI274" s="30" t="s">
        <v>245</v>
      </c>
      <c r="AJ274" s="30" t="s">
        <v>245</v>
      </c>
      <c r="AK274" s="30" t="s">
        <v>245</v>
      </c>
      <c r="AL274" s="30" t="s">
        <v>245</v>
      </c>
      <c r="AM274" s="30" t="s">
        <v>245</v>
      </c>
      <c r="AN274" s="30" t="s">
        <v>245</v>
      </c>
      <c r="AO274" s="30" t="s">
        <v>416</v>
      </c>
      <c r="AP274" s="30" t="s">
        <v>417</v>
      </c>
      <c r="AQ274" s="30" t="s">
        <v>245</v>
      </c>
      <c r="AR274" s="30" t="s">
        <v>245</v>
      </c>
      <c r="AS274" s="30" t="s">
        <v>245</v>
      </c>
      <c r="AT274" s="30" t="s">
        <v>1105</v>
      </c>
      <c r="AU274" s="30">
        <v>2016</v>
      </c>
      <c r="AV274" s="30">
        <v>542</v>
      </c>
      <c r="AW274" s="30" t="s">
        <v>245</v>
      </c>
      <c r="AX274" s="30" t="s">
        <v>2375</v>
      </c>
      <c r="AY274" s="30" t="s">
        <v>245</v>
      </c>
      <c r="AZ274" s="30" t="s">
        <v>245</v>
      </c>
      <c r="BA274" s="30" t="s">
        <v>245</v>
      </c>
      <c r="BB274" s="30">
        <v>453</v>
      </c>
      <c r="BC274" s="30">
        <v>468</v>
      </c>
      <c r="BD274" s="30" t="s">
        <v>245</v>
      </c>
      <c r="BE274" s="30" t="s">
        <v>2376</v>
      </c>
      <c r="BF274" s="30" t="str">
        <f>HYPERLINK("http://dx.doi.org/10.1016/j.scitotenv.2015.10.070","http://dx.doi.org/10.1016/j.scitotenv.2015.10.070")</f>
        <v>http://dx.doi.org/10.1016/j.scitotenv.2015.10.070</v>
      </c>
      <c r="BG274" s="30" t="s">
        <v>245</v>
      </c>
      <c r="BH274" s="30" t="s">
        <v>245</v>
      </c>
      <c r="BI274" s="30" t="s">
        <v>245</v>
      </c>
      <c r="BJ274" s="30" t="s">
        <v>245</v>
      </c>
      <c r="BK274" s="30" t="s">
        <v>245</v>
      </c>
      <c r="BL274" s="30" t="s">
        <v>245</v>
      </c>
      <c r="BM274" s="30" t="s">
        <v>245</v>
      </c>
      <c r="BN274" s="30">
        <v>26520269</v>
      </c>
      <c r="BO274" s="30" t="s">
        <v>245</v>
      </c>
      <c r="BP274" s="30" t="s">
        <v>245</v>
      </c>
      <c r="BQ274" s="30" t="s">
        <v>245</v>
      </c>
      <c r="BR274" s="30" t="s">
        <v>245</v>
      </c>
      <c r="BS274" s="30" t="s">
        <v>2377</v>
      </c>
      <c r="BT274" s="30" t="str">
        <f>HYPERLINK("https%3A%2F%2Fwww.webofscience.com%2Fwos%2Fwoscc%2Ffull-record%2FWOS:000365602100047","View Full Record in Web of Science")</f>
        <v>View Full Record in Web of Science</v>
      </c>
    </row>
    <row r="275" spans="1:72" x14ac:dyDescent="0.2">
      <c r="A275" s="30" t="s">
        <v>243</v>
      </c>
      <c r="B275" s="30" t="s">
        <v>2378</v>
      </c>
      <c r="C275" s="30" t="s">
        <v>245</v>
      </c>
      <c r="D275" s="30" t="s">
        <v>245</v>
      </c>
      <c r="E275" s="30" t="s">
        <v>245</v>
      </c>
      <c r="F275" s="30" t="s">
        <v>2379</v>
      </c>
      <c r="G275" s="30" t="s">
        <v>245</v>
      </c>
      <c r="H275" s="30" t="s">
        <v>245</v>
      </c>
      <c r="I275" s="30" t="s">
        <v>2380</v>
      </c>
      <c r="J275" s="30" t="s">
        <v>413</v>
      </c>
      <c r="K275" s="30" t="s">
        <v>245</v>
      </c>
      <c r="L275" s="30" t="s">
        <v>245</v>
      </c>
      <c r="M275" s="30" t="s">
        <v>245</v>
      </c>
      <c r="N275" s="30" t="s">
        <v>245</v>
      </c>
      <c r="O275" s="30" t="s">
        <v>245</v>
      </c>
      <c r="P275" s="30" t="s">
        <v>245</v>
      </c>
      <c r="Q275" s="30" t="s">
        <v>245</v>
      </c>
      <c r="R275" s="30" t="s">
        <v>245</v>
      </c>
      <c r="S275" s="30" t="s">
        <v>245</v>
      </c>
      <c r="T275" s="30" t="s">
        <v>245</v>
      </c>
      <c r="U275" s="30" t="s">
        <v>245</v>
      </c>
      <c r="V275" s="30" t="s">
        <v>245</v>
      </c>
      <c r="W275" s="30" t="s">
        <v>245</v>
      </c>
      <c r="X275" s="30" t="s">
        <v>245</v>
      </c>
      <c r="Y275" s="30" t="s">
        <v>245</v>
      </c>
      <c r="Z275" s="30" t="s">
        <v>245</v>
      </c>
      <c r="AA275" s="30" t="s">
        <v>2381</v>
      </c>
      <c r="AB275" s="30" t="s">
        <v>2382</v>
      </c>
      <c r="AC275" s="30" t="s">
        <v>245</v>
      </c>
      <c r="AD275" s="30" t="s">
        <v>245</v>
      </c>
      <c r="AE275" s="30" t="s">
        <v>245</v>
      </c>
      <c r="AF275" s="30" t="s">
        <v>245</v>
      </c>
      <c r="AG275" s="30" t="s">
        <v>245</v>
      </c>
      <c r="AH275" s="30" t="s">
        <v>245</v>
      </c>
      <c r="AI275" s="30" t="s">
        <v>245</v>
      </c>
      <c r="AJ275" s="30" t="s">
        <v>245</v>
      </c>
      <c r="AK275" s="30" t="s">
        <v>245</v>
      </c>
      <c r="AL275" s="30" t="s">
        <v>245</v>
      </c>
      <c r="AM275" s="30" t="s">
        <v>245</v>
      </c>
      <c r="AN275" s="30" t="s">
        <v>245</v>
      </c>
      <c r="AO275" s="30" t="s">
        <v>416</v>
      </c>
      <c r="AP275" s="30" t="s">
        <v>417</v>
      </c>
      <c r="AQ275" s="30" t="s">
        <v>245</v>
      </c>
      <c r="AR275" s="30" t="s">
        <v>245</v>
      </c>
      <c r="AS275" s="30" t="s">
        <v>245</v>
      </c>
      <c r="AT275" s="30" t="s">
        <v>957</v>
      </c>
      <c r="AU275" s="30">
        <v>2016</v>
      </c>
      <c r="AV275" s="30">
        <v>569</v>
      </c>
      <c r="AW275" s="30" t="s">
        <v>245</v>
      </c>
      <c r="AX275" s="30" t="s">
        <v>245</v>
      </c>
      <c r="AY275" s="30" t="s">
        <v>245</v>
      </c>
      <c r="AZ275" s="30" t="s">
        <v>245</v>
      </c>
      <c r="BA275" s="30" t="s">
        <v>245</v>
      </c>
      <c r="BB275" s="30">
        <v>306</v>
      </c>
      <c r="BC275" s="30">
        <v>320</v>
      </c>
      <c r="BD275" s="30" t="s">
        <v>245</v>
      </c>
      <c r="BE275" s="30" t="s">
        <v>2383</v>
      </c>
      <c r="BF275" s="30" t="str">
        <f>HYPERLINK("http://dx.doi.org/10.1016/j.scitotenv.2016.06.040","http://dx.doi.org/10.1016/j.scitotenv.2016.06.040")</f>
        <v>http://dx.doi.org/10.1016/j.scitotenv.2016.06.040</v>
      </c>
      <c r="BG275" s="30" t="s">
        <v>245</v>
      </c>
      <c r="BH275" s="30" t="s">
        <v>245</v>
      </c>
      <c r="BI275" s="30" t="s">
        <v>245</v>
      </c>
      <c r="BJ275" s="30" t="s">
        <v>245</v>
      </c>
      <c r="BK275" s="30" t="s">
        <v>245</v>
      </c>
      <c r="BL275" s="30" t="s">
        <v>245</v>
      </c>
      <c r="BM275" s="30" t="s">
        <v>245</v>
      </c>
      <c r="BN275" s="30">
        <v>27344120</v>
      </c>
      <c r="BO275" s="30" t="s">
        <v>245</v>
      </c>
      <c r="BP275" s="30" t="s">
        <v>245</v>
      </c>
      <c r="BQ275" s="30" t="s">
        <v>245</v>
      </c>
      <c r="BR275" s="30" t="s">
        <v>245</v>
      </c>
      <c r="BS275" s="30" t="s">
        <v>2384</v>
      </c>
      <c r="BT275" s="30" t="str">
        <f>HYPERLINK("https%3A%2F%2Fwww.webofscience.com%2Fwos%2Fwoscc%2Ffull-record%2FWOS:000382269000033","View Full Record in Web of Science")</f>
        <v>View Full Record in Web of Science</v>
      </c>
    </row>
    <row r="276" spans="1:72" x14ac:dyDescent="0.2">
      <c r="A276" s="30" t="s">
        <v>243</v>
      </c>
      <c r="B276" s="30" t="s">
        <v>2385</v>
      </c>
      <c r="C276" s="30" t="s">
        <v>245</v>
      </c>
      <c r="D276" s="30" t="s">
        <v>245</v>
      </c>
      <c r="E276" s="30" t="s">
        <v>245</v>
      </c>
      <c r="F276" s="30" t="s">
        <v>2386</v>
      </c>
      <c r="G276" s="30" t="s">
        <v>245</v>
      </c>
      <c r="H276" s="30" t="s">
        <v>245</v>
      </c>
      <c r="I276" s="30" t="s">
        <v>2387</v>
      </c>
      <c r="J276" s="30" t="s">
        <v>271</v>
      </c>
      <c r="K276" s="30" t="s">
        <v>245</v>
      </c>
      <c r="L276" s="30" t="s">
        <v>245</v>
      </c>
      <c r="M276" s="30" t="s">
        <v>245</v>
      </c>
      <c r="N276" s="30" t="s">
        <v>245</v>
      </c>
      <c r="O276" s="30" t="s">
        <v>245</v>
      </c>
      <c r="P276" s="30" t="s">
        <v>245</v>
      </c>
      <c r="Q276" s="30" t="s">
        <v>245</v>
      </c>
      <c r="R276" s="30" t="s">
        <v>245</v>
      </c>
      <c r="S276" s="30" t="s">
        <v>245</v>
      </c>
      <c r="T276" s="30" t="s">
        <v>245</v>
      </c>
      <c r="U276" s="30" t="s">
        <v>245</v>
      </c>
      <c r="V276" s="30" t="s">
        <v>245</v>
      </c>
      <c r="W276" s="30" t="s">
        <v>245</v>
      </c>
      <c r="X276" s="30" t="s">
        <v>245</v>
      </c>
      <c r="Y276" s="30" t="s">
        <v>245</v>
      </c>
      <c r="Z276" s="30" t="s">
        <v>245</v>
      </c>
      <c r="AA276" s="30" t="s">
        <v>2388</v>
      </c>
      <c r="AB276" s="30" t="s">
        <v>245</v>
      </c>
      <c r="AC276" s="30" t="s">
        <v>245</v>
      </c>
      <c r="AD276" s="30" t="s">
        <v>245</v>
      </c>
      <c r="AE276" s="30" t="s">
        <v>245</v>
      </c>
      <c r="AF276" s="30" t="s">
        <v>245</v>
      </c>
      <c r="AG276" s="30" t="s">
        <v>245</v>
      </c>
      <c r="AH276" s="30" t="s">
        <v>245</v>
      </c>
      <c r="AI276" s="30" t="s">
        <v>245</v>
      </c>
      <c r="AJ276" s="30" t="s">
        <v>245</v>
      </c>
      <c r="AK276" s="30" t="s">
        <v>245</v>
      </c>
      <c r="AL276" s="30" t="s">
        <v>245</v>
      </c>
      <c r="AM276" s="30" t="s">
        <v>245</v>
      </c>
      <c r="AN276" s="30" t="s">
        <v>245</v>
      </c>
      <c r="AO276" s="30" t="s">
        <v>274</v>
      </c>
      <c r="AP276" s="30" t="s">
        <v>275</v>
      </c>
      <c r="AQ276" s="30" t="s">
        <v>245</v>
      </c>
      <c r="AR276" s="30" t="s">
        <v>245</v>
      </c>
      <c r="AS276" s="30" t="s">
        <v>245</v>
      </c>
      <c r="AT276" s="30" t="s">
        <v>2389</v>
      </c>
      <c r="AU276" s="30">
        <v>2013</v>
      </c>
      <c r="AV276" s="30">
        <v>47</v>
      </c>
      <c r="AW276" s="30">
        <v>12</v>
      </c>
      <c r="AX276" s="30" t="s">
        <v>245</v>
      </c>
      <c r="AY276" s="30" t="s">
        <v>245</v>
      </c>
      <c r="AZ276" s="30" t="s">
        <v>245</v>
      </c>
      <c r="BA276" s="30" t="s">
        <v>245</v>
      </c>
      <c r="BB276" s="30">
        <v>6206</v>
      </c>
      <c r="BC276" s="30">
        <v>6213</v>
      </c>
      <c r="BD276" s="30" t="s">
        <v>245</v>
      </c>
      <c r="BE276" s="30" t="s">
        <v>2390</v>
      </c>
      <c r="BF276" s="30" t="str">
        <f>HYPERLINK("http://dx.doi.org/10.1021/es304011w","http://dx.doi.org/10.1021/es304011w")</f>
        <v>http://dx.doi.org/10.1021/es304011w</v>
      </c>
      <c r="BG276" s="30" t="s">
        <v>245</v>
      </c>
      <c r="BH276" s="30" t="s">
        <v>245</v>
      </c>
      <c r="BI276" s="30" t="s">
        <v>245</v>
      </c>
      <c r="BJ276" s="30" t="s">
        <v>245</v>
      </c>
      <c r="BK276" s="30" t="s">
        <v>245</v>
      </c>
      <c r="BL276" s="30" t="s">
        <v>245</v>
      </c>
      <c r="BM276" s="30" t="s">
        <v>245</v>
      </c>
      <c r="BN276" s="30">
        <v>23662623</v>
      </c>
      <c r="BO276" s="30" t="s">
        <v>245</v>
      </c>
      <c r="BP276" s="30" t="s">
        <v>245</v>
      </c>
      <c r="BQ276" s="30" t="s">
        <v>245</v>
      </c>
      <c r="BR276" s="30" t="s">
        <v>245</v>
      </c>
      <c r="BS276" s="30" t="s">
        <v>2391</v>
      </c>
      <c r="BT276" s="30" t="str">
        <f>HYPERLINK("https%3A%2F%2Fwww.webofscience.com%2Fwos%2Fwoscc%2Ffull-record%2FWOS:000320749000018","View Full Record in Web of Science")</f>
        <v>View Full Record in Web of Science</v>
      </c>
    </row>
    <row r="277" spans="1:72" x14ac:dyDescent="0.2">
      <c r="A277" s="30" t="s">
        <v>243</v>
      </c>
      <c r="B277" s="30" t="s">
        <v>2392</v>
      </c>
      <c r="C277" s="30" t="s">
        <v>245</v>
      </c>
      <c r="D277" s="30" t="s">
        <v>245</v>
      </c>
      <c r="E277" s="30" t="s">
        <v>245</v>
      </c>
      <c r="F277" s="30" t="s">
        <v>2393</v>
      </c>
      <c r="G277" s="30" t="s">
        <v>245</v>
      </c>
      <c r="H277" s="30" t="s">
        <v>245</v>
      </c>
      <c r="I277" s="30" t="s">
        <v>2394</v>
      </c>
      <c r="J277" s="30" t="s">
        <v>1288</v>
      </c>
      <c r="K277" s="30" t="s">
        <v>245</v>
      </c>
      <c r="L277" s="30" t="s">
        <v>245</v>
      </c>
      <c r="M277" s="30" t="s">
        <v>245</v>
      </c>
      <c r="N277" s="30" t="s">
        <v>245</v>
      </c>
      <c r="O277" s="30" t="s">
        <v>245</v>
      </c>
      <c r="P277" s="30" t="s">
        <v>245</v>
      </c>
      <c r="Q277" s="30" t="s">
        <v>245</v>
      </c>
      <c r="R277" s="30" t="s">
        <v>245</v>
      </c>
      <c r="S277" s="30" t="s">
        <v>245</v>
      </c>
      <c r="T277" s="30" t="s">
        <v>245</v>
      </c>
      <c r="U277" s="30" t="s">
        <v>245</v>
      </c>
      <c r="V277" s="30" t="s">
        <v>245</v>
      </c>
      <c r="W277" s="30" t="s">
        <v>245</v>
      </c>
      <c r="X277" s="30" t="s">
        <v>245</v>
      </c>
      <c r="Y277" s="30" t="s">
        <v>245</v>
      </c>
      <c r="Z277" s="30" t="s">
        <v>245</v>
      </c>
      <c r="AA277" s="30" t="s">
        <v>2395</v>
      </c>
      <c r="AB277" s="30" t="s">
        <v>2396</v>
      </c>
      <c r="AC277" s="30" t="s">
        <v>245</v>
      </c>
      <c r="AD277" s="30" t="s">
        <v>245</v>
      </c>
      <c r="AE277" s="30" t="s">
        <v>245</v>
      </c>
      <c r="AF277" s="30" t="s">
        <v>245</v>
      </c>
      <c r="AG277" s="30" t="s">
        <v>245</v>
      </c>
      <c r="AH277" s="30" t="s">
        <v>245</v>
      </c>
      <c r="AI277" s="30" t="s">
        <v>245</v>
      </c>
      <c r="AJ277" s="30" t="s">
        <v>245</v>
      </c>
      <c r="AK277" s="30" t="s">
        <v>245</v>
      </c>
      <c r="AL277" s="30" t="s">
        <v>245</v>
      </c>
      <c r="AM277" s="30" t="s">
        <v>245</v>
      </c>
      <c r="AN277" s="30" t="s">
        <v>245</v>
      </c>
      <c r="AO277" s="30" t="s">
        <v>1291</v>
      </c>
      <c r="AP277" s="30" t="s">
        <v>1292</v>
      </c>
      <c r="AQ277" s="30" t="s">
        <v>245</v>
      </c>
      <c r="AR277" s="30" t="s">
        <v>245</v>
      </c>
      <c r="AS277" s="30" t="s">
        <v>245</v>
      </c>
      <c r="AT277" s="30" t="s">
        <v>481</v>
      </c>
      <c r="AU277" s="30">
        <v>2018</v>
      </c>
      <c r="AV277" s="30">
        <v>119</v>
      </c>
      <c r="AW277" s="30" t="s">
        <v>245</v>
      </c>
      <c r="AX277" s="30" t="s">
        <v>245</v>
      </c>
      <c r="AY277" s="30" t="s">
        <v>245</v>
      </c>
      <c r="AZ277" s="30" t="s">
        <v>245</v>
      </c>
      <c r="BA277" s="30" t="s">
        <v>245</v>
      </c>
      <c r="BB277" s="30">
        <v>206</v>
      </c>
      <c r="BC277" s="30">
        <v>216</v>
      </c>
      <c r="BD277" s="30" t="s">
        <v>245</v>
      </c>
      <c r="BE277" s="30" t="s">
        <v>2397</v>
      </c>
      <c r="BF277" s="30" t="str">
        <f>HYPERLINK("http://dx.doi.org/10.1016/j.biombioe.2018.09.015","http://dx.doi.org/10.1016/j.biombioe.2018.09.015")</f>
        <v>http://dx.doi.org/10.1016/j.biombioe.2018.09.015</v>
      </c>
      <c r="BG277" s="30" t="s">
        <v>245</v>
      </c>
      <c r="BH277" s="30" t="s">
        <v>245</v>
      </c>
      <c r="BI277" s="30" t="s">
        <v>245</v>
      </c>
      <c r="BJ277" s="30" t="s">
        <v>245</v>
      </c>
      <c r="BK277" s="30" t="s">
        <v>245</v>
      </c>
      <c r="BL277" s="30" t="s">
        <v>245</v>
      </c>
      <c r="BM277" s="30" t="s">
        <v>245</v>
      </c>
      <c r="BN277" s="30" t="s">
        <v>245</v>
      </c>
      <c r="BO277" s="30" t="s">
        <v>245</v>
      </c>
      <c r="BP277" s="30" t="s">
        <v>245</v>
      </c>
      <c r="BQ277" s="30" t="s">
        <v>245</v>
      </c>
      <c r="BR277" s="30" t="s">
        <v>245</v>
      </c>
      <c r="BS277" s="30" t="s">
        <v>2398</v>
      </c>
      <c r="BT277" s="30" t="str">
        <f>HYPERLINK("https%3A%2F%2Fwww.webofscience.com%2Fwos%2Fwoscc%2Ffull-record%2FWOS:000449265800024","View Full Record in Web of Science")</f>
        <v>View Full Record in Web of Science</v>
      </c>
    </row>
    <row r="278" spans="1:72" x14ac:dyDescent="0.2">
      <c r="A278" s="30" t="s">
        <v>243</v>
      </c>
      <c r="B278" s="30" t="s">
        <v>2399</v>
      </c>
      <c r="C278" s="30" t="s">
        <v>245</v>
      </c>
      <c r="D278" s="30" t="s">
        <v>245</v>
      </c>
      <c r="E278" s="30" t="s">
        <v>245</v>
      </c>
      <c r="F278" s="30" t="s">
        <v>2400</v>
      </c>
      <c r="G278" s="30" t="s">
        <v>245</v>
      </c>
      <c r="H278" s="30" t="s">
        <v>245</v>
      </c>
      <c r="I278" s="30" t="s">
        <v>2401</v>
      </c>
      <c r="J278" s="30" t="s">
        <v>1804</v>
      </c>
      <c r="K278" s="30" t="s">
        <v>245</v>
      </c>
      <c r="L278" s="30" t="s">
        <v>245</v>
      </c>
      <c r="M278" s="30" t="s">
        <v>245</v>
      </c>
      <c r="N278" s="30" t="s">
        <v>245</v>
      </c>
      <c r="O278" s="30" t="s">
        <v>245</v>
      </c>
      <c r="P278" s="30" t="s">
        <v>245</v>
      </c>
      <c r="Q278" s="30" t="s">
        <v>245</v>
      </c>
      <c r="R278" s="30" t="s">
        <v>245</v>
      </c>
      <c r="S278" s="30" t="s">
        <v>245</v>
      </c>
      <c r="T278" s="30" t="s">
        <v>245</v>
      </c>
      <c r="U278" s="30" t="s">
        <v>245</v>
      </c>
      <c r="V278" s="30" t="s">
        <v>245</v>
      </c>
      <c r="W278" s="30" t="s">
        <v>245</v>
      </c>
      <c r="X278" s="30" t="s">
        <v>245</v>
      </c>
      <c r="Y278" s="30" t="s">
        <v>245</v>
      </c>
      <c r="Z278" s="30" t="s">
        <v>245</v>
      </c>
      <c r="AA278" s="30" t="s">
        <v>2402</v>
      </c>
      <c r="AB278" s="30" t="s">
        <v>2403</v>
      </c>
      <c r="AC278" s="30" t="s">
        <v>245</v>
      </c>
      <c r="AD278" s="30" t="s">
        <v>245</v>
      </c>
      <c r="AE278" s="30" t="s">
        <v>245</v>
      </c>
      <c r="AF278" s="30" t="s">
        <v>245</v>
      </c>
      <c r="AG278" s="30" t="s">
        <v>245</v>
      </c>
      <c r="AH278" s="30" t="s">
        <v>245</v>
      </c>
      <c r="AI278" s="30" t="s">
        <v>245</v>
      </c>
      <c r="AJ278" s="30" t="s">
        <v>245</v>
      </c>
      <c r="AK278" s="30" t="s">
        <v>245</v>
      </c>
      <c r="AL278" s="30" t="s">
        <v>245</v>
      </c>
      <c r="AM278" s="30" t="s">
        <v>245</v>
      </c>
      <c r="AN278" s="30" t="s">
        <v>245</v>
      </c>
      <c r="AO278" s="30" t="s">
        <v>1807</v>
      </c>
      <c r="AP278" s="30" t="s">
        <v>245</v>
      </c>
      <c r="AQ278" s="30" t="s">
        <v>245</v>
      </c>
      <c r="AR278" s="30" t="s">
        <v>245</v>
      </c>
      <c r="AS278" s="30" t="s">
        <v>245</v>
      </c>
      <c r="AT278" s="30" t="s">
        <v>1786</v>
      </c>
      <c r="AU278" s="30">
        <v>2021</v>
      </c>
      <c r="AV278" s="30">
        <v>6</v>
      </c>
      <c r="AW278" s="30">
        <v>1</v>
      </c>
      <c r="AX278" s="30" t="s">
        <v>245</v>
      </c>
      <c r="AY278" s="30" t="s">
        <v>245</v>
      </c>
      <c r="AZ278" s="30" t="s">
        <v>245</v>
      </c>
      <c r="BA278" s="30" t="s">
        <v>245</v>
      </c>
      <c r="BB278" s="30" t="s">
        <v>245</v>
      </c>
      <c r="BC278" s="30" t="s">
        <v>245</v>
      </c>
      <c r="BD278" s="30" t="s">
        <v>2404</v>
      </c>
      <c r="BE278" s="30" t="s">
        <v>2405</v>
      </c>
      <c r="BF278" s="30" t="str">
        <f>HYPERLINK("http://dx.doi.org/10.1128/mSystems.01025-20","http://dx.doi.org/10.1128/mSystems.01025-20")</f>
        <v>http://dx.doi.org/10.1128/mSystems.01025-20</v>
      </c>
      <c r="BG278" s="30" t="s">
        <v>245</v>
      </c>
      <c r="BH278" s="30" t="s">
        <v>245</v>
      </c>
      <c r="BI278" s="30" t="s">
        <v>245</v>
      </c>
      <c r="BJ278" s="30" t="s">
        <v>245</v>
      </c>
      <c r="BK278" s="30" t="s">
        <v>245</v>
      </c>
      <c r="BL278" s="30" t="s">
        <v>245</v>
      </c>
      <c r="BM278" s="30" t="s">
        <v>245</v>
      </c>
      <c r="BN278" s="30">
        <v>33563788</v>
      </c>
      <c r="BO278" s="30" t="s">
        <v>245</v>
      </c>
      <c r="BP278" s="30" t="s">
        <v>245</v>
      </c>
      <c r="BQ278" s="30" t="s">
        <v>245</v>
      </c>
      <c r="BR278" s="30" t="s">
        <v>245</v>
      </c>
      <c r="BS278" s="30" t="s">
        <v>2406</v>
      </c>
      <c r="BT278" s="30" t="str">
        <f>HYPERLINK("https%3A%2F%2Fwww.webofscience.com%2Fwos%2Fwoscc%2Ffull-record%2FWOS:000647691000028","View Full Record in Web of Science")</f>
        <v>View Full Record in Web of Science</v>
      </c>
    </row>
    <row r="279" spans="1:72" x14ac:dyDescent="0.2">
      <c r="A279" s="30" t="s">
        <v>243</v>
      </c>
      <c r="B279" s="30" t="s">
        <v>2407</v>
      </c>
      <c r="C279" s="30" t="s">
        <v>245</v>
      </c>
      <c r="D279" s="30" t="s">
        <v>245</v>
      </c>
      <c r="E279" s="30" t="s">
        <v>245</v>
      </c>
      <c r="F279" s="30" t="s">
        <v>2407</v>
      </c>
      <c r="G279" s="30" t="s">
        <v>245</v>
      </c>
      <c r="H279" s="30" t="s">
        <v>245</v>
      </c>
      <c r="I279" s="30" t="s">
        <v>2408</v>
      </c>
      <c r="J279" s="30" t="s">
        <v>2409</v>
      </c>
      <c r="K279" s="30" t="s">
        <v>245</v>
      </c>
      <c r="L279" s="30" t="s">
        <v>245</v>
      </c>
      <c r="M279" s="30" t="s">
        <v>245</v>
      </c>
      <c r="N279" s="30" t="s">
        <v>245</v>
      </c>
      <c r="O279" s="30" t="s">
        <v>245</v>
      </c>
      <c r="P279" s="30" t="s">
        <v>245</v>
      </c>
      <c r="Q279" s="30" t="s">
        <v>245</v>
      </c>
      <c r="R279" s="30" t="s">
        <v>245</v>
      </c>
      <c r="S279" s="30" t="s">
        <v>245</v>
      </c>
      <c r="T279" s="30" t="s">
        <v>245</v>
      </c>
      <c r="U279" s="30" t="s">
        <v>245</v>
      </c>
      <c r="V279" s="30" t="s">
        <v>245</v>
      </c>
      <c r="W279" s="30" t="s">
        <v>245</v>
      </c>
      <c r="X279" s="30" t="s">
        <v>245</v>
      </c>
      <c r="Y279" s="30" t="s">
        <v>245</v>
      </c>
      <c r="Z279" s="30" t="s">
        <v>245</v>
      </c>
      <c r="AA279" s="30" t="s">
        <v>2410</v>
      </c>
      <c r="AB279" s="30" t="s">
        <v>2411</v>
      </c>
      <c r="AC279" s="30" t="s">
        <v>245</v>
      </c>
      <c r="AD279" s="30" t="s">
        <v>245</v>
      </c>
      <c r="AE279" s="30" t="s">
        <v>245</v>
      </c>
      <c r="AF279" s="30" t="s">
        <v>245</v>
      </c>
      <c r="AG279" s="30" t="s">
        <v>245</v>
      </c>
      <c r="AH279" s="30" t="s">
        <v>245</v>
      </c>
      <c r="AI279" s="30" t="s">
        <v>245</v>
      </c>
      <c r="AJ279" s="30" t="s">
        <v>245</v>
      </c>
      <c r="AK279" s="30" t="s">
        <v>245</v>
      </c>
      <c r="AL279" s="30" t="s">
        <v>245</v>
      </c>
      <c r="AM279" s="30" t="s">
        <v>245</v>
      </c>
      <c r="AN279" s="30" t="s">
        <v>245</v>
      </c>
      <c r="AO279" s="30" t="s">
        <v>2412</v>
      </c>
      <c r="AP279" s="30" t="s">
        <v>245</v>
      </c>
      <c r="AQ279" s="30" t="s">
        <v>245</v>
      </c>
      <c r="AR279" s="30" t="s">
        <v>245</v>
      </c>
      <c r="AS279" s="30" t="s">
        <v>245</v>
      </c>
      <c r="AT279" s="30" t="s">
        <v>245</v>
      </c>
      <c r="AU279" s="30">
        <v>2003</v>
      </c>
      <c r="AV279" s="30">
        <v>41</v>
      </c>
      <c r="AW279" s="30">
        <v>6</v>
      </c>
      <c r="AX279" s="30" t="s">
        <v>245</v>
      </c>
      <c r="AY279" s="30" t="s">
        <v>245</v>
      </c>
      <c r="AZ279" s="30" t="s">
        <v>245</v>
      </c>
      <c r="BA279" s="30" t="s">
        <v>245</v>
      </c>
      <c r="BB279" s="30">
        <v>1177</v>
      </c>
      <c r="BC279" s="30">
        <v>1183</v>
      </c>
      <c r="BD279" s="30" t="s">
        <v>245</v>
      </c>
      <c r="BE279" s="30" t="s">
        <v>2413</v>
      </c>
      <c r="BF279" s="30" t="str">
        <f>HYPERLINK("http://dx.doi.org/10.1071/SR02144","http://dx.doi.org/10.1071/SR02144")</f>
        <v>http://dx.doi.org/10.1071/SR02144</v>
      </c>
      <c r="BG279" s="30" t="s">
        <v>245</v>
      </c>
      <c r="BH279" s="30" t="s">
        <v>245</v>
      </c>
      <c r="BI279" s="30" t="s">
        <v>245</v>
      </c>
      <c r="BJ279" s="30" t="s">
        <v>245</v>
      </c>
      <c r="BK279" s="30" t="s">
        <v>245</v>
      </c>
      <c r="BL279" s="30" t="s">
        <v>245</v>
      </c>
      <c r="BM279" s="30" t="s">
        <v>245</v>
      </c>
      <c r="BN279" s="30" t="s">
        <v>245</v>
      </c>
      <c r="BO279" s="30" t="s">
        <v>245</v>
      </c>
      <c r="BP279" s="30" t="s">
        <v>245</v>
      </c>
      <c r="BQ279" s="30" t="s">
        <v>245</v>
      </c>
      <c r="BR279" s="30" t="s">
        <v>245</v>
      </c>
      <c r="BS279" s="30" t="s">
        <v>2414</v>
      </c>
      <c r="BT279" s="30" t="str">
        <f>HYPERLINK("https%3A%2F%2Fwww.webofscience.com%2Fwos%2Fwoscc%2Ffull-record%2FWOS:000185979500012","View Full Record in Web of Science")</f>
        <v>View Full Record in Web of Science</v>
      </c>
    </row>
    <row r="280" spans="1:72" x14ac:dyDescent="0.2">
      <c r="A280" s="30" t="s">
        <v>243</v>
      </c>
      <c r="B280" s="30" t="s">
        <v>2415</v>
      </c>
      <c r="C280" s="30" t="s">
        <v>245</v>
      </c>
      <c r="D280" s="30" t="s">
        <v>245</v>
      </c>
      <c r="E280" s="30" t="s">
        <v>245</v>
      </c>
      <c r="F280" s="30" t="s">
        <v>2416</v>
      </c>
      <c r="G280" s="30" t="s">
        <v>245</v>
      </c>
      <c r="H280" s="30" t="s">
        <v>245</v>
      </c>
      <c r="I280" s="30" t="s">
        <v>2417</v>
      </c>
      <c r="J280" s="30" t="s">
        <v>2418</v>
      </c>
      <c r="K280" s="30" t="s">
        <v>245</v>
      </c>
      <c r="L280" s="30" t="s">
        <v>245</v>
      </c>
      <c r="M280" s="30" t="s">
        <v>245</v>
      </c>
      <c r="N280" s="30" t="s">
        <v>245</v>
      </c>
      <c r="O280" s="30" t="s">
        <v>245</v>
      </c>
      <c r="P280" s="30" t="s">
        <v>245</v>
      </c>
      <c r="Q280" s="30" t="s">
        <v>245</v>
      </c>
      <c r="R280" s="30" t="s">
        <v>245</v>
      </c>
      <c r="S280" s="30" t="s">
        <v>245</v>
      </c>
      <c r="T280" s="30" t="s">
        <v>245</v>
      </c>
      <c r="U280" s="30" t="s">
        <v>245</v>
      </c>
      <c r="V280" s="30" t="s">
        <v>245</v>
      </c>
      <c r="W280" s="30" t="s">
        <v>245</v>
      </c>
      <c r="X280" s="30" t="s">
        <v>245</v>
      </c>
      <c r="Y280" s="30" t="s">
        <v>245</v>
      </c>
      <c r="Z280" s="30" t="s">
        <v>245</v>
      </c>
      <c r="AA280" s="30" t="s">
        <v>2419</v>
      </c>
      <c r="AB280" s="30" t="s">
        <v>245</v>
      </c>
      <c r="AC280" s="30" t="s">
        <v>245</v>
      </c>
      <c r="AD280" s="30" t="s">
        <v>245</v>
      </c>
      <c r="AE280" s="30" t="s">
        <v>245</v>
      </c>
      <c r="AF280" s="30" t="s">
        <v>245</v>
      </c>
      <c r="AG280" s="30" t="s">
        <v>245</v>
      </c>
      <c r="AH280" s="30" t="s">
        <v>245</v>
      </c>
      <c r="AI280" s="30" t="s">
        <v>245</v>
      </c>
      <c r="AJ280" s="30" t="s">
        <v>245</v>
      </c>
      <c r="AK280" s="30" t="s">
        <v>245</v>
      </c>
      <c r="AL280" s="30" t="s">
        <v>245</v>
      </c>
      <c r="AM280" s="30" t="s">
        <v>245</v>
      </c>
      <c r="AN280" s="30" t="s">
        <v>245</v>
      </c>
      <c r="AO280" s="30" t="s">
        <v>2420</v>
      </c>
      <c r="AP280" s="30" t="s">
        <v>2421</v>
      </c>
      <c r="AQ280" s="30" t="s">
        <v>245</v>
      </c>
      <c r="AR280" s="30" t="s">
        <v>245</v>
      </c>
      <c r="AS280" s="30" t="s">
        <v>245</v>
      </c>
      <c r="AT280" s="30" t="s">
        <v>550</v>
      </c>
      <c r="AU280" s="30">
        <v>2023</v>
      </c>
      <c r="AV280" s="30">
        <v>387</v>
      </c>
      <c r="AW280" s="30" t="s">
        <v>245</v>
      </c>
      <c r="AX280" s="30" t="s">
        <v>245</v>
      </c>
      <c r="AY280" s="30" t="s">
        <v>245</v>
      </c>
      <c r="AZ280" s="30" t="s">
        <v>245</v>
      </c>
      <c r="BA280" s="30" t="s">
        <v>245</v>
      </c>
      <c r="BB280" s="30" t="s">
        <v>245</v>
      </c>
      <c r="BC280" s="30" t="s">
        <v>245</v>
      </c>
      <c r="BD280" s="30">
        <v>129682</v>
      </c>
      <c r="BE280" s="30" t="s">
        <v>2422</v>
      </c>
      <c r="BF280" s="30" t="str">
        <f>HYPERLINK("http://dx.doi.org/10.1016/j.biortech.2023.129682","http://dx.doi.org/10.1016/j.biortech.2023.129682")</f>
        <v>http://dx.doi.org/10.1016/j.biortech.2023.129682</v>
      </c>
      <c r="BG280" s="30" t="s">
        <v>245</v>
      </c>
      <c r="BH280" s="30" t="s">
        <v>1596</v>
      </c>
      <c r="BI280" s="30" t="s">
        <v>245</v>
      </c>
      <c r="BJ280" s="30" t="s">
        <v>245</v>
      </c>
      <c r="BK280" s="30" t="s">
        <v>245</v>
      </c>
      <c r="BL280" s="30" t="s">
        <v>245</v>
      </c>
      <c r="BM280" s="30" t="s">
        <v>245</v>
      </c>
      <c r="BN280" s="30">
        <v>37586431</v>
      </c>
      <c r="BO280" s="30" t="s">
        <v>245</v>
      </c>
      <c r="BP280" s="30" t="s">
        <v>245</v>
      </c>
      <c r="BQ280" s="30" t="s">
        <v>245</v>
      </c>
      <c r="BR280" s="30" t="s">
        <v>245</v>
      </c>
      <c r="BS280" s="30" t="s">
        <v>2423</v>
      </c>
      <c r="BT280" s="30" t="str">
        <f>HYPERLINK("https%3A%2F%2Fwww.webofscience.com%2Fwos%2Fwoscc%2Ffull-record%2FWOS:001063377000001","View Full Record in Web of Science")</f>
        <v>View Full Record in Web of Science</v>
      </c>
    </row>
    <row r="281" spans="1:72" x14ac:dyDescent="0.2">
      <c r="A281" s="30" t="s">
        <v>243</v>
      </c>
      <c r="B281" s="30" t="s">
        <v>2424</v>
      </c>
      <c r="C281" s="30" t="s">
        <v>245</v>
      </c>
      <c r="D281" s="30" t="s">
        <v>245</v>
      </c>
      <c r="E281" s="30" t="s">
        <v>245</v>
      </c>
      <c r="F281" s="30" t="s">
        <v>2425</v>
      </c>
      <c r="G281" s="30" t="s">
        <v>245</v>
      </c>
      <c r="H281" s="30" t="s">
        <v>245</v>
      </c>
      <c r="I281" s="30" t="s">
        <v>2426</v>
      </c>
      <c r="J281" s="30" t="s">
        <v>2427</v>
      </c>
      <c r="K281" s="30" t="s">
        <v>245</v>
      </c>
      <c r="L281" s="30" t="s">
        <v>245</v>
      </c>
      <c r="M281" s="30" t="s">
        <v>245</v>
      </c>
      <c r="N281" s="30" t="s">
        <v>245</v>
      </c>
      <c r="O281" s="30" t="s">
        <v>245</v>
      </c>
      <c r="P281" s="30" t="s">
        <v>245</v>
      </c>
      <c r="Q281" s="30" t="s">
        <v>245</v>
      </c>
      <c r="R281" s="30" t="s">
        <v>245</v>
      </c>
      <c r="S281" s="30" t="s">
        <v>245</v>
      </c>
      <c r="T281" s="30" t="s">
        <v>245</v>
      </c>
      <c r="U281" s="30" t="s">
        <v>245</v>
      </c>
      <c r="V281" s="30" t="s">
        <v>245</v>
      </c>
      <c r="W281" s="30" t="s">
        <v>245</v>
      </c>
      <c r="X281" s="30" t="s">
        <v>245</v>
      </c>
      <c r="Y281" s="30" t="s">
        <v>245</v>
      </c>
      <c r="Z281" s="30" t="s">
        <v>245</v>
      </c>
      <c r="AA281" s="30" t="s">
        <v>2428</v>
      </c>
      <c r="AB281" s="30" t="s">
        <v>2429</v>
      </c>
      <c r="AC281" s="30" t="s">
        <v>245</v>
      </c>
      <c r="AD281" s="30" t="s">
        <v>245</v>
      </c>
      <c r="AE281" s="30" t="s">
        <v>245</v>
      </c>
      <c r="AF281" s="30" t="s">
        <v>245</v>
      </c>
      <c r="AG281" s="30" t="s">
        <v>245</v>
      </c>
      <c r="AH281" s="30" t="s">
        <v>245</v>
      </c>
      <c r="AI281" s="30" t="s">
        <v>245</v>
      </c>
      <c r="AJ281" s="30" t="s">
        <v>245</v>
      </c>
      <c r="AK281" s="30" t="s">
        <v>245</v>
      </c>
      <c r="AL281" s="30" t="s">
        <v>245</v>
      </c>
      <c r="AM281" s="30" t="s">
        <v>245</v>
      </c>
      <c r="AN281" s="30" t="s">
        <v>245</v>
      </c>
      <c r="AO281" s="30" t="s">
        <v>2430</v>
      </c>
      <c r="AP281" s="30" t="s">
        <v>2431</v>
      </c>
      <c r="AQ281" s="30" t="s">
        <v>245</v>
      </c>
      <c r="AR281" s="30" t="s">
        <v>245</v>
      </c>
      <c r="AS281" s="30" t="s">
        <v>245</v>
      </c>
      <c r="AT281" s="30" t="s">
        <v>245</v>
      </c>
      <c r="AU281" s="30">
        <v>2016</v>
      </c>
      <c r="AV281" s="30">
        <v>16</v>
      </c>
      <c r="AW281" s="30">
        <v>13</v>
      </c>
      <c r="AX281" s="30" t="s">
        <v>245</v>
      </c>
      <c r="AY281" s="30" t="s">
        <v>245</v>
      </c>
      <c r="AZ281" s="30" t="s">
        <v>245</v>
      </c>
      <c r="BA281" s="30" t="s">
        <v>245</v>
      </c>
      <c r="BB281" s="30">
        <v>8157</v>
      </c>
      <c r="BC281" s="30">
        <v>8180</v>
      </c>
      <c r="BD281" s="30" t="s">
        <v>245</v>
      </c>
      <c r="BE281" s="30" t="s">
        <v>2432</v>
      </c>
      <c r="BF281" s="30" t="str">
        <f>HYPERLINK("http://dx.doi.org/10.5194/acp-16-8157-2016","http://dx.doi.org/10.5194/acp-16-8157-2016")</f>
        <v>http://dx.doi.org/10.5194/acp-16-8157-2016</v>
      </c>
      <c r="BG281" s="30" t="s">
        <v>245</v>
      </c>
      <c r="BH281" s="30" t="s">
        <v>245</v>
      </c>
      <c r="BI281" s="30" t="s">
        <v>245</v>
      </c>
      <c r="BJ281" s="30" t="s">
        <v>245</v>
      </c>
      <c r="BK281" s="30" t="s">
        <v>245</v>
      </c>
      <c r="BL281" s="30" t="s">
        <v>245</v>
      </c>
      <c r="BM281" s="30" t="s">
        <v>245</v>
      </c>
      <c r="BN281" s="30" t="s">
        <v>245</v>
      </c>
      <c r="BO281" s="30" t="s">
        <v>245</v>
      </c>
      <c r="BP281" s="30" t="s">
        <v>245</v>
      </c>
      <c r="BQ281" s="30" t="s">
        <v>245</v>
      </c>
      <c r="BR281" s="30" t="s">
        <v>245</v>
      </c>
      <c r="BS281" s="30" t="s">
        <v>2433</v>
      </c>
      <c r="BT281" s="30" t="str">
        <f>HYPERLINK("https%3A%2F%2Fwww.webofscience.com%2Fwos%2Fwoscc%2Ffull-record%2FWOS:000381091400007","View Full Record in Web of Science")</f>
        <v>View Full Record in Web of Science</v>
      </c>
    </row>
    <row r="282" spans="1:72" x14ac:dyDescent="0.2">
      <c r="A282" s="30" t="s">
        <v>243</v>
      </c>
      <c r="B282" s="30" t="s">
        <v>2434</v>
      </c>
      <c r="C282" s="30" t="s">
        <v>245</v>
      </c>
      <c r="D282" s="30" t="s">
        <v>245</v>
      </c>
      <c r="E282" s="30" t="s">
        <v>245</v>
      </c>
      <c r="F282" s="30" t="s">
        <v>2435</v>
      </c>
      <c r="G282" s="30" t="s">
        <v>245</v>
      </c>
      <c r="H282" s="30" t="s">
        <v>245</v>
      </c>
      <c r="I282" s="30" t="s">
        <v>2436</v>
      </c>
      <c r="J282" s="30" t="s">
        <v>641</v>
      </c>
      <c r="K282" s="30" t="s">
        <v>245</v>
      </c>
      <c r="L282" s="30" t="s">
        <v>245</v>
      </c>
      <c r="M282" s="30" t="s">
        <v>245</v>
      </c>
      <c r="N282" s="30" t="s">
        <v>245</v>
      </c>
      <c r="O282" s="30" t="s">
        <v>2437</v>
      </c>
      <c r="P282" s="30" t="s">
        <v>2438</v>
      </c>
      <c r="Q282" s="30" t="s">
        <v>2439</v>
      </c>
      <c r="R282" s="30" t="s">
        <v>2440</v>
      </c>
      <c r="S282" s="30" t="s">
        <v>245</v>
      </c>
      <c r="T282" s="30" t="s">
        <v>245</v>
      </c>
      <c r="U282" s="30" t="s">
        <v>245</v>
      </c>
      <c r="V282" s="30" t="s">
        <v>245</v>
      </c>
      <c r="W282" s="30" t="s">
        <v>245</v>
      </c>
      <c r="X282" s="30" t="s">
        <v>245</v>
      </c>
      <c r="Y282" s="30" t="s">
        <v>245</v>
      </c>
      <c r="Z282" s="30" t="s">
        <v>245</v>
      </c>
      <c r="AA282" s="30" t="s">
        <v>2441</v>
      </c>
      <c r="AB282" s="30" t="s">
        <v>245</v>
      </c>
      <c r="AC282" s="30" t="s">
        <v>245</v>
      </c>
      <c r="AD282" s="30" t="s">
        <v>245</v>
      </c>
      <c r="AE282" s="30" t="s">
        <v>245</v>
      </c>
      <c r="AF282" s="30" t="s">
        <v>245</v>
      </c>
      <c r="AG282" s="30" t="s">
        <v>245</v>
      </c>
      <c r="AH282" s="30" t="s">
        <v>245</v>
      </c>
      <c r="AI282" s="30" t="s">
        <v>245</v>
      </c>
      <c r="AJ282" s="30" t="s">
        <v>245</v>
      </c>
      <c r="AK282" s="30" t="s">
        <v>245</v>
      </c>
      <c r="AL282" s="30" t="s">
        <v>245</v>
      </c>
      <c r="AM282" s="30" t="s">
        <v>245</v>
      </c>
      <c r="AN282" s="30" t="s">
        <v>245</v>
      </c>
      <c r="AO282" s="30" t="s">
        <v>644</v>
      </c>
      <c r="AP282" s="30" t="s">
        <v>645</v>
      </c>
      <c r="AQ282" s="30" t="s">
        <v>245</v>
      </c>
      <c r="AR282" s="30" t="s">
        <v>245</v>
      </c>
      <c r="AS282" s="30" t="s">
        <v>245</v>
      </c>
      <c r="AT282" s="30" t="s">
        <v>814</v>
      </c>
      <c r="AU282" s="30">
        <v>2006</v>
      </c>
      <c r="AV282" s="30">
        <v>35</v>
      </c>
      <c r="AW282" s="30">
        <v>4</v>
      </c>
      <c r="AX282" s="30" t="s">
        <v>245</v>
      </c>
      <c r="AY282" s="30" t="s">
        <v>245</v>
      </c>
      <c r="AZ282" s="30" t="s">
        <v>245</v>
      </c>
      <c r="BA282" s="30" t="s">
        <v>245</v>
      </c>
      <c r="BB282" s="30">
        <v>1554</v>
      </c>
      <c r="BC282" s="30">
        <v>1565</v>
      </c>
      <c r="BD282" s="30" t="s">
        <v>245</v>
      </c>
      <c r="BE282" s="30" t="s">
        <v>2442</v>
      </c>
      <c r="BF282" s="30" t="str">
        <f>HYPERLINK("http://dx.doi.org/10.2134/jeq2005.0208","http://dx.doi.org/10.2134/jeq2005.0208")</f>
        <v>http://dx.doi.org/10.2134/jeq2005.0208</v>
      </c>
      <c r="BG282" s="30" t="s">
        <v>245</v>
      </c>
      <c r="BH282" s="30" t="s">
        <v>245</v>
      </c>
      <c r="BI282" s="30" t="s">
        <v>245</v>
      </c>
      <c r="BJ282" s="30" t="s">
        <v>245</v>
      </c>
      <c r="BK282" s="30" t="s">
        <v>245</v>
      </c>
      <c r="BL282" s="30" t="s">
        <v>245</v>
      </c>
      <c r="BM282" s="30" t="s">
        <v>245</v>
      </c>
      <c r="BN282" s="30">
        <v>16825476</v>
      </c>
      <c r="BO282" s="30" t="s">
        <v>245</v>
      </c>
      <c r="BP282" s="30" t="s">
        <v>245</v>
      </c>
      <c r="BQ282" s="30" t="s">
        <v>245</v>
      </c>
      <c r="BR282" s="30" t="s">
        <v>245</v>
      </c>
      <c r="BS282" s="30" t="s">
        <v>2443</v>
      </c>
      <c r="BT282" s="30" t="str">
        <f>HYPERLINK("https%3A%2F%2Fwww.webofscience.com%2Fwos%2Fwoscc%2Ffull-record%2FWOS:000239189900063","View Full Record in Web of Science")</f>
        <v>View Full Record in Web of Science</v>
      </c>
    </row>
    <row r="283" spans="1:72" x14ac:dyDescent="0.2">
      <c r="A283" s="30" t="s">
        <v>243</v>
      </c>
      <c r="B283" s="30" t="s">
        <v>2444</v>
      </c>
      <c r="C283" s="30" t="s">
        <v>245</v>
      </c>
      <c r="D283" s="30" t="s">
        <v>245</v>
      </c>
      <c r="E283" s="30" t="s">
        <v>245</v>
      </c>
      <c r="F283" s="30" t="s">
        <v>2445</v>
      </c>
      <c r="G283" s="30" t="s">
        <v>245</v>
      </c>
      <c r="H283" s="30" t="s">
        <v>245</v>
      </c>
      <c r="I283" s="30" t="s">
        <v>2446</v>
      </c>
      <c r="J283" s="30" t="s">
        <v>2447</v>
      </c>
      <c r="K283" s="30" t="s">
        <v>245</v>
      </c>
      <c r="L283" s="30" t="s">
        <v>245</v>
      </c>
      <c r="M283" s="30" t="s">
        <v>245</v>
      </c>
      <c r="N283" s="30" t="s">
        <v>245</v>
      </c>
      <c r="O283" s="30" t="s">
        <v>245</v>
      </c>
      <c r="P283" s="30" t="s">
        <v>245</v>
      </c>
      <c r="Q283" s="30" t="s">
        <v>245</v>
      </c>
      <c r="R283" s="30" t="s">
        <v>245</v>
      </c>
      <c r="S283" s="30" t="s">
        <v>245</v>
      </c>
      <c r="T283" s="30" t="s">
        <v>245</v>
      </c>
      <c r="U283" s="30" t="s">
        <v>245</v>
      </c>
      <c r="V283" s="30" t="s">
        <v>245</v>
      </c>
      <c r="W283" s="30" t="s">
        <v>245</v>
      </c>
      <c r="X283" s="30" t="s">
        <v>245</v>
      </c>
      <c r="Y283" s="30" t="s">
        <v>245</v>
      </c>
      <c r="Z283" s="30" t="s">
        <v>245</v>
      </c>
      <c r="AA283" s="30" t="s">
        <v>2448</v>
      </c>
      <c r="AB283" s="30" t="s">
        <v>2449</v>
      </c>
      <c r="AC283" s="30" t="s">
        <v>245</v>
      </c>
      <c r="AD283" s="30" t="s">
        <v>245</v>
      </c>
      <c r="AE283" s="30" t="s">
        <v>245</v>
      </c>
      <c r="AF283" s="30" t="s">
        <v>245</v>
      </c>
      <c r="AG283" s="30" t="s">
        <v>245</v>
      </c>
      <c r="AH283" s="30" t="s">
        <v>245</v>
      </c>
      <c r="AI283" s="30" t="s">
        <v>245</v>
      </c>
      <c r="AJ283" s="30" t="s">
        <v>245</v>
      </c>
      <c r="AK283" s="30" t="s">
        <v>245</v>
      </c>
      <c r="AL283" s="30" t="s">
        <v>245</v>
      </c>
      <c r="AM283" s="30" t="s">
        <v>245</v>
      </c>
      <c r="AN283" s="30" t="s">
        <v>245</v>
      </c>
      <c r="AO283" s="30" t="s">
        <v>2450</v>
      </c>
      <c r="AP283" s="30" t="s">
        <v>2451</v>
      </c>
      <c r="AQ283" s="30" t="s">
        <v>245</v>
      </c>
      <c r="AR283" s="30" t="s">
        <v>245</v>
      </c>
      <c r="AS283" s="30" t="s">
        <v>245</v>
      </c>
      <c r="AT283" s="30" t="s">
        <v>354</v>
      </c>
      <c r="AU283" s="30">
        <v>2014</v>
      </c>
      <c r="AV283" s="30">
        <v>37</v>
      </c>
      <c r="AW283" s="30">
        <v>2</v>
      </c>
      <c r="AX283" s="30" t="s">
        <v>245</v>
      </c>
      <c r="AY283" s="30" t="s">
        <v>245</v>
      </c>
      <c r="AZ283" s="30" t="s">
        <v>245</v>
      </c>
      <c r="BA283" s="30" t="s">
        <v>245</v>
      </c>
      <c r="BB283" s="30">
        <v>113</v>
      </c>
      <c r="BC283" s="30">
        <v>116</v>
      </c>
      <c r="BD283" s="30" t="s">
        <v>245</v>
      </c>
      <c r="BE283" s="30" t="s">
        <v>2452</v>
      </c>
      <c r="BF283" s="30" t="str">
        <f>HYPERLINK("http://dx.doi.org/10.1007/s40009-013-0216-1","http://dx.doi.org/10.1007/s40009-013-0216-1")</f>
        <v>http://dx.doi.org/10.1007/s40009-013-0216-1</v>
      </c>
      <c r="BG283" s="30" t="s">
        <v>245</v>
      </c>
      <c r="BH283" s="30" t="s">
        <v>245</v>
      </c>
      <c r="BI283" s="30" t="s">
        <v>245</v>
      </c>
      <c r="BJ283" s="30" t="s">
        <v>245</v>
      </c>
      <c r="BK283" s="30" t="s">
        <v>245</v>
      </c>
      <c r="BL283" s="30" t="s">
        <v>245</v>
      </c>
      <c r="BM283" s="30" t="s">
        <v>245</v>
      </c>
      <c r="BN283" s="30" t="s">
        <v>245</v>
      </c>
      <c r="BO283" s="30" t="s">
        <v>245</v>
      </c>
      <c r="BP283" s="30" t="s">
        <v>245</v>
      </c>
      <c r="BQ283" s="30" t="s">
        <v>245</v>
      </c>
      <c r="BR283" s="30" t="s">
        <v>245</v>
      </c>
      <c r="BS283" s="30" t="s">
        <v>2453</v>
      </c>
      <c r="BT283" s="30" t="str">
        <f>HYPERLINK("https%3A%2F%2Fwww.webofscience.com%2Fwos%2Fwoscc%2Ffull-record%2FWOS:000334522700003","View Full Record in Web of Science")</f>
        <v>View Full Record in Web of Science</v>
      </c>
    </row>
    <row r="284" spans="1:72" x14ac:dyDescent="0.2">
      <c r="A284" s="30" t="s">
        <v>243</v>
      </c>
      <c r="B284" s="30" t="s">
        <v>2454</v>
      </c>
      <c r="C284" s="30" t="s">
        <v>245</v>
      </c>
      <c r="D284" s="30" t="s">
        <v>245</v>
      </c>
      <c r="E284" s="30" t="s">
        <v>245</v>
      </c>
      <c r="F284" s="30" t="s">
        <v>2455</v>
      </c>
      <c r="G284" s="30" t="s">
        <v>245</v>
      </c>
      <c r="H284" s="30" t="s">
        <v>245</v>
      </c>
      <c r="I284" s="30" t="s">
        <v>2456</v>
      </c>
      <c r="J284" s="30" t="s">
        <v>413</v>
      </c>
      <c r="K284" s="30" t="s">
        <v>245</v>
      </c>
      <c r="L284" s="30" t="s">
        <v>245</v>
      </c>
      <c r="M284" s="30" t="s">
        <v>245</v>
      </c>
      <c r="N284" s="30" t="s">
        <v>245</v>
      </c>
      <c r="O284" s="30" t="s">
        <v>245</v>
      </c>
      <c r="P284" s="30" t="s">
        <v>245</v>
      </c>
      <c r="Q284" s="30" t="s">
        <v>245</v>
      </c>
      <c r="R284" s="30" t="s">
        <v>245</v>
      </c>
      <c r="S284" s="30" t="s">
        <v>245</v>
      </c>
      <c r="T284" s="30" t="s">
        <v>245</v>
      </c>
      <c r="U284" s="30" t="s">
        <v>245</v>
      </c>
      <c r="V284" s="30" t="s">
        <v>245</v>
      </c>
      <c r="W284" s="30" t="s">
        <v>245</v>
      </c>
      <c r="X284" s="30" t="s">
        <v>245</v>
      </c>
      <c r="Y284" s="30" t="s">
        <v>245</v>
      </c>
      <c r="Z284" s="30" t="s">
        <v>245</v>
      </c>
      <c r="AA284" s="30" t="s">
        <v>2457</v>
      </c>
      <c r="AB284" s="30" t="s">
        <v>245</v>
      </c>
      <c r="AC284" s="30" t="s">
        <v>245</v>
      </c>
      <c r="AD284" s="30" t="s">
        <v>245</v>
      </c>
      <c r="AE284" s="30" t="s">
        <v>245</v>
      </c>
      <c r="AF284" s="30" t="s">
        <v>245</v>
      </c>
      <c r="AG284" s="30" t="s">
        <v>245</v>
      </c>
      <c r="AH284" s="30" t="s">
        <v>245</v>
      </c>
      <c r="AI284" s="30" t="s">
        <v>245</v>
      </c>
      <c r="AJ284" s="30" t="s">
        <v>245</v>
      </c>
      <c r="AK284" s="30" t="s">
        <v>245</v>
      </c>
      <c r="AL284" s="30" t="s">
        <v>245</v>
      </c>
      <c r="AM284" s="30" t="s">
        <v>245</v>
      </c>
      <c r="AN284" s="30" t="s">
        <v>245</v>
      </c>
      <c r="AO284" s="30" t="s">
        <v>416</v>
      </c>
      <c r="AP284" s="30" t="s">
        <v>417</v>
      </c>
      <c r="AQ284" s="30" t="s">
        <v>245</v>
      </c>
      <c r="AR284" s="30" t="s">
        <v>245</v>
      </c>
      <c r="AS284" s="30" t="s">
        <v>245</v>
      </c>
      <c r="AT284" s="30" t="s">
        <v>444</v>
      </c>
      <c r="AU284" s="30">
        <v>2024</v>
      </c>
      <c r="AV284" s="30">
        <v>943</v>
      </c>
      <c r="AW284" s="30" t="s">
        <v>245</v>
      </c>
      <c r="AX284" s="30" t="s">
        <v>245</v>
      </c>
      <c r="AY284" s="30" t="s">
        <v>245</v>
      </c>
      <c r="AZ284" s="30" t="s">
        <v>245</v>
      </c>
      <c r="BA284" s="30" t="s">
        <v>245</v>
      </c>
      <c r="BB284" s="30" t="s">
        <v>245</v>
      </c>
      <c r="BC284" s="30" t="s">
        <v>245</v>
      </c>
      <c r="BD284" s="30">
        <v>173793</v>
      </c>
      <c r="BE284" s="30" t="s">
        <v>2458</v>
      </c>
      <c r="BF284" s="30" t="str">
        <f>HYPERLINK("http://dx.doi.org/10.1016/j.scitotenv.2024.173793","http://dx.doi.org/10.1016/j.scitotenv.2024.173793")</f>
        <v>http://dx.doi.org/10.1016/j.scitotenv.2024.173793</v>
      </c>
      <c r="BG284" s="30" t="s">
        <v>245</v>
      </c>
      <c r="BH284" s="30" t="s">
        <v>2459</v>
      </c>
      <c r="BI284" s="30" t="s">
        <v>245</v>
      </c>
      <c r="BJ284" s="30" t="s">
        <v>245</v>
      </c>
      <c r="BK284" s="30" t="s">
        <v>245</v>
      </c>
      <c r="BL284" s="30" t="s">
        <v>245</v>
      </c>
      <c r="BM284" s="30" t="s">
        <v>245</v>
      </c>
      <c r="BN284" s="30">
        <v>38851333</v>
      </c>
      <c r="BO284" s="30" t="s">
        <v>245</v>
      </c>
      <c r="BP284" s="30" t="s">
        <v>245</v>
      </c>
      <c r="BQ284" s="30" t="s">
        <v>245</v>
      </c>
      <c r="BR284" s="30" t="s">
        <v>245</v>
      </c>
      <c r="BS284" s="30" t="s">
        <v>2460</v>
      </c>
      <c r="BT284" s="30" t="str">
        <f>HYPERLINK("https%3A%2F%2Fwww.webofscience.com%2Fwos%2Fwoscc%2Ffull-record%2FWOS:001253329900001","View Full Record in Web of Science")</f>
        <v>View Full Record in Web of Science</v>
      </c>
    </row>
    <row r="285" spans="1:72" x14ac:dyDescent="0.2">
      <c r="A285" s="30" t="s">
        <v>243</v>
      </c>
      <c r="B285" s="30" t="s">
        <v>2461</v>
      </c>
      <c r="C285" s="30" t="s">
        <v>245</v>
      </c>
      <c r="D285" s="30" t="s">
        <v>245</v>
      </c>
      <c r="E285" s="30" t="s">
        <v>245</v>
      </c>
      <c r="F285" s="30" t="s">
        <v>2462</v>
      </c>
      <c r="G285" s="30" t="s">
        <v>245</v>
      </c>
      <c r="H285" s="30" t="s">
        <v>245</v>
      </c>
      <c r="I285" s="30" t="s">
        <v>2463</v>
      </c>
      <c r="J285" s="30" t="s">
        <v>413</v>
      </c>
      <c r="K285" s="30" t="s">
        <v>245</v>
      </c>
      <c r="L285" s="30" t="s">
        <v>245</v>
      </c>
      <c r="M285" s="30" t="s">
        <v>245</v>
      </c>
      <c r="N285" s="30" t="s">
        <v>245</v>
      </c>
      <c r="O285" s="30" t="s">
        <v>245</v>
      </c>
      <c r="P285" s="30" t="s">
        <v>245</v>
      </c>
      <c r="Q285" s="30" t="s">
        <v>245</v>
      </c>
      <c r="R285" s="30" t="s">
        <v>245</v>
      </c>
      <c r="S285" s="30" t="s">
        <v>245</v>
      </c>
      <c r="T285" s="30" t="s">
        <v>245</v>
      </c>
      <c r="U285" s="30" t="s">
        <v>245</v>
      </c>
      <c r="V285" s="30" t="s">
        <v>245</v>
      </c>
      <c r="W285" s="30" t="s">
        <v>245</v>
      </c>
      <c r="X285" s="30" t="s">
        <v>245</v>
      </c>
      <c r="Y285" s="30" t="s">
        <v>245</v>
      </c>
      <c r="Z285" s="30" t="s">
        <v>245</v>
      </c>
      <c r="AA285" s="30" t="s">
        <v>2464</v>
      </c>
      <c r="AB285" s="30" t="s">
        <v>2465</v>
      </c>
      <c r="AC285" s="30" t="s">
        <v>245</v>
      </c>
      <c r="AD285" s="30" t="s">
        <v>245</v>
      </c>
      <c r="AE285" s="30" t="s">
        <v>245</v>
      </c>
      <c r="AF285" s="30" t="s">
        <v>245</v>
      </c>
      <c r="AG285" s="30" t="s">
        <v>245</v>
      </c>
      <c r="AH285" s="30" t="s">
        <v>245</v>
      </c>
      <c r="AI285" s="30" t="s">
        <v>245</v>
      </c>
      <c r="AJ285" s="30" t="s">
        <v>245</v>
      </c>
      <c r="AK285" s="30" t="s">
        <v>245</v>
      </c>
      <c r="AL285" s="30" t="s">
        <v>245</v>
      </c>
      <c r="AM285" s="30" t="s">
        <v>245</v>
      </c>
      <c r="AN285" s="30" t="s">
        <v>245</v>
      </c>
      <c r="AO285" s="30" t="s">
        <v>416</v>
      </c>
      <c r="AP285" s="30" t="s">
        <v>417</v>
      </c>
      <c r="AQ285" s="30" t="s">
        <v>245</v>
      </c>
      <c r="AR285" s="30" t="s">
        <v>245</v>
      </c>
      <c r="AS285" s="30" t="s">
        <v>245</v>
      </c>
      <c r="AT285" s="30" t="s">
        <v>1740</v>
      </c>
      <c r="AU285" s="30">
        <v>2018</v>
      </c>
      <c r="AV285" s="30">
        <v>619</v>
      </c>
      <c r="AW285" s="30" t="s">
        <v>245</v>
      </c>
      <c r="AX285" s="30" t="s">
        <v>245</v>
      </c>
      <c r="AY285" s="30" t="s">
        <v>245</v>
      </c>
      <c r="AZ285" s="30" t="s">
        <v>245</v>
      </c>
      <c r="BA285" s="30" t="s">
        <v>245</v>
      </c>
      <c r="BB285" s="30">
        <v>1579</v>
      </c>
      <c r="BC285" s="30">
        <v>1588</v>
      </c>
      <c r="BD285" s="30" t="s">
        <v>245</v>
      </c>
      <c r="BE285" s="30" t="s">
        <v>2466</v>
      </c>
      <c r="BF285" s="30" t="str">
        <f>HYPERLINK("http://dx.doi.org/10.1016/j.scitotenv.2017.10.144","http://dx.doi.org/10.1016/j.scitotenv.2017.10.144")</f>
        <v>http://dx.doi.org/10.1016/j.scitotenv.2017.10.144</v>
      </c>
      <c r="BG285" s="30" t="s">
        <v>245</v>
      </c>
      <c r="BH285" s="30" t="s">
        <v>245</v>
      </c>
      <c r="BI285" s="30" t="s">
        <v>245</v>
      </c>
      <c r="BJ285" s="30" t="s">
        <v>245</v>
      </c>
      <c r="BK285" s="30" t="s">
        <v>245</v>
      </c>
      <c r="BL285" s="30" t="s">
        <v>245</v>
      </c>
      <c r="BM285" s="30" t="s">
        <v>245</v>
      </c>
      <c r="BN285" s="30">
        <v>29128121</v>
      </c>
      <c r="BO285" s="30" t="s">
        <v>245</v>
      </c>
      <c r="BP285" s="30" t="s">
        <v>245</v>
      </c>
      <c r="BQ285" s="30" t="s">
        <v>245</v>
      </c>
      <c r="BR285" s="30" t="s">
        <v>245</v>
      </c>
      <c r="BS285" s="30" t="s">
        <v>2467</v>
      </c>
      <c r="BT285" s="30" t="str">
        <f>HYPERLINK("https%3A%2F%2Fwww.webofscience.com%2Fwos%2Fwoscc%2Ffull-record%2FWOS:000424144200156","View Full Record in Web of Science")</f>
        <v>View Full Record in Web of Science</v>
      </c>
    </row>
    <row r="286" spans="1:72" x14ac:dyDescent="0.2">
      <c r="A286" s="30" t="s">
        <v>243</v>
      </c>
      <c r="B286" s="30" t="s">
        <v>2468</v>
      </c>
      <c r="C286" s="30" t="s">
        <v>245</v>
      </c>
      <c r="D286" s="30" t="s">
        <v>245</v>
      </c>
      <c r="E286" s="30" t="s">
        <v>245</v>
      </c>
      <c r="F286" s="30" t="s">
        <v>2468</v>
      </c>
      <c r="G286" s="30" t="s">
        <v>245</v>
      </c>
      <c r="H286" s="30" t="s">
        <v>245</v>
      </c>
      <c r="I286" s="30" t="s">
        <v>2469</v>
      </c>
      <c r="J286" s="30" t="s">
        <v>432</v>
      </c>
      <c r="K286" s="30" t="s">
        <v>245</v>
      </c>
      <c r="L286" s="30" t="s">
        <v>245</v>
      </c>
      <c r="M286" s="30" t="s">
        <v>245</v>
      </c>
      <c r="N286" s="30" t="s">
        <v>245</v>
      </c>
      <c r="O286" s="30" t="s">
        <v>245</v>
      </c>
      <c r="P286" s="30" t="s">
        <v>245</v>
      </c>
      <c r="Q286" s="30" t="s">
        <v>245</v>
      </c>
      <c r="R286" s="30" t="s">
        <v>245</v>
      </c>
      <c r="S286" s="30" t="s">
        <v>245</v>
      </c>
      <c r="T286" s="30" t="s">
        <v>245</v>
      </c>
      <c r="U286" s="30" t="s">
        <v>245</v>
      </c>
      <c r="V286" s="30" t="s">
        <v>245</v>
      </c>
      <c r="W286" s="30" t="s">
        <v>245</v>
      </c>
      <c r="X286" s="30" t="s">
        <v>245</v>
      </c>
      <c r="Y286" s="30" t="s">
        <v>245</v>
      </c>
      <c r="Z286" s="30" t="s">
        <v>245</v>
      </c>
      <c r="AA286" s="30" t="s">
        <v>245</v>
      </c>
      <c r="AB286" s="30" t="s">
        <v>245</v>
      </c>
      <c r="AC286" s="30" t="s">
        <v>245</v>
      </c>
      <c r="AD286" s="30" t="s">
        <v>245</v>
      </c>
      <c r="AE286" s="30" t="s">
        <v>245</v>
      </c>
      <c r="AF286" s="30" t="s">
        <v>245</v>
      </c>
      <c r="AG286" s="30" t="s">
        <v>245</v>
      </c>
      <c r="AH286" s="30" t="s">
        <v>245</v>
      </c>
      <c r="AI286" s="30" t="s">
        <v>245</v>
      </c>
      <c r="AJ286" s="30" t="s">
        <v>245</v>
      </c>
      <c r="AK286" s="30" t="s">
        <v>245</v>
      </c>
      <c r="AL286" s="30" t="s">
        <v>245</v>
      </c>
      <c r="AM286" s="30" t="s">
        <v>245</v>
      </c>
      <c r="AN286" s="30" t="s">
        <v>245</v>
      </c>
      <c r="AO286" s="30" t="s">
        <v>433</v>
      </c>
      <c r="AP286" s="30" t="s">
        <v>434</v>
      </c>
      <c r="AQ286" s="30" t="s">
        <v>245</v>
      </c>
      <c r="AR286" s="30" t="s">
        <v>245</v>
      </c>
      <c r="AS286" s="30" t="s">
        <v>245</v>
      </c>
      <c r="AT286" s="30" t="s">
        <v>245</v>
      </c>
      <c r="AU286" s="30">
        <v>1975</v>
      </c>
      <c r="AV286" s="30">
        <v>43</v>
      </c>
      <c r="AW286" s="30">
        <v>3</v>
      </c>
      <c r="AX286" s="30" t="s">
        <v>245</v>
      </c>
      <c r="AY286" s="30" t="s">
        <v>245</v>
      </c>
      <c r="AZ286" s="30" t="s">
        <v>245</v>
      </c>
      <c r="BA286" s="30" t="s">
        <v>245</v>
      </c>
      <c r="BB286" s="30">
        <v>587</v>
      </c>
      <c r="BC286" s="30">
        <v>607</v>
      </c>
      <c r="BD286" s="30" t="s">
        <v>245</v>
      </c>
      <c r="BE286" s="30" t="s">
        <v>2470</v>
      </c>
      <c r="BF286" s="30" t="str">
        <f>HYPERLINK("http://dx.doi.org/10.1007/BF01928521","http://dx.doi.org/10.1007/BF01928521")</f>
        <v>http://dx.doi.org/10.1007/BF01928521</v>
      </c>
      <c r="BG286" s="30" t="s">
        <v>245</v>
      </c>
      <c r="BH286" s="30" t="s">
        <v>245</v>
      </c>
      <c r="BI286" s="30" t="s">
        <v>245</v>
      </c>
      <c r="BJ286" s="30" t="s">
        <v>245</v>
      </c>
      <c r="BK286" s="30" t="s">
        <v>245</v>
      </c>
      <c r="BL286" s="30" t="s">
        <v>245</v>
      </c>
      <c r="BM286" s="30" t="s">
        <v>245</v>
      </c>
      <c r="BN286" s="30" t="s">
        <v>245</v>
      </c>
      <c r="BO286" s="30" t="s">
        <v>245</v>
      </c>
      <c r="BP286" s="30" t="s">
        <v>245</v>
      </c>
      <c r="BQ286" s="30" t="s">
        <v>245</v>
      </c>
      <c r="BR286" s="30" t="s">
        <v>245</v>
      </c>
      <c r="BS286" s="30" t="s">
        <v>2471</v>
      </c>
      <c r="BT286" s="30" t="str">
        <f>HYPERLINK("https%3A%2F%2Fwww.webofscience.com%2Fwos%2Fwoscc%2Ffull-record%2FWOS:A1975BB78800006","View Full Record in Web of Science")</f>
        <v>View Full Record in Web of Science</v>
      </c>
    </row>
    <row r="287" spans="1:72" x14ac:dyDescent="0.2">
      <c r="A287" s="30" t="s">
        <v>243</v>
      </c>
      <c r="B287" s="30" t="s">
        <v>2472</v>
      </c>
      <c r="C287" s="30" t="s">
        <v>245</v>
      </c>
      <c r="D287" s="30" t="s">
        <v>245</v>
      </c>
      <c r="E287" s="30" t="s">
        <v>245</v>
      </c>
      <c r="F287" s="30" t="s">
        <v>2473</v>
      </c>
      <c r="G287" s="30" t="s">
        <v>245</v>
      </c>
      <c r="H287" s="30" t="s">
        <v>245</v>
      </c>
      <c r="I287" s="30" t="s">
        <v>2474</v>
      </c>
      <c r="J287" s="30" t="s">
        <v>413</v>
      </c>
      <c r="K287" s="30" t="s">
        <v>245</v>
      </c>
      <c r="L287" s="30" t="s">
        <v>245</v>
      </c>
      <c r="M287" s="30" t="s">
        <v>245</v>
      </c>
      <c r="N287" s="30" t="s">
        <v>245</v>
      </c>
      <c r="O287" s="30" t="s">
        <v>245</v>
      </c>
      <c r="P287" s="30" t="s">
        <v>245</v>
      </c>
      <c r="Q287" s="30" t="s">
        <v>245</v>
      </c>
      <c r="R287" s="30" t="s">
        <v>245</v>
      </c>
      <c r="S287" s="30" t="s">
        <v>245</v>
      </c>
      <c r="T287" s="30" t="s">
        <v>245</v>
      </c>
      <c r="U287" s="30" t="s">
        <v>245</v>
      </c>
      <c r="V287" s="30" t="s">
        <v>245</v>
      </c>
      <c r="W287" s="30" t="s">
        <v>245</v>
      </c>
      <c r="X287" s="30" t="s">
        <v>245</v>
      </c>
      <c r="Y287" s="30" t="s">
        <v>245</v>
      </c>
      <c r="Z287" s="30" t="s">
        <v>245</v>
      </c>
      <c r="AA287" s="30" t="s">
        <v>245</v>
      </c>
      <c r="AB287" s="30" t="s">
        <v>2475</v>
      </c>
      <c r="AC287" s="30" t="s">
        <v>245</v>
      </c>
      <c r="AD287" s="30" t="s">
        <v>245</v>
      </c>
      <c r="AE287" s="30" t="s">
        <v>245</v>
      </c>
      <c r="AF287" s="30" t="s">
        <v>245</v>
      </c>
      <c r="AG287" s="30" t="s">
        <v>245</v>
      </c>
      <c r="AH287" s="30" t="s">
        <v>245</v>
      </c>
      <c r="AI287" s="30" t="s">
        <v>245</v>
      </c>
      <c r="AJ287" s="30" t="s">
        <v>245</v>
      </c>
      <c r="AK287" s="30" t="s">
        <v>245</v>
      </c>
      <c r="AL287" s="30" t="s">
        <v>245</v>
      </c>
      <c r="AM287" s="30" t="s">
        <v>245</v>
      </c>
      <c r="AN287" s="30" t="s">
        <v>245</v>
      </c>
      <c r="AO287" s="30" t="s">
        <v>416</v>
      </c>
      <c r="AP287" s="30" t="s">
        <v>417</v>
      </c>
      <c r="AQ287" s="30" t="s">
        <v>245</v>
      </c>
      <c r="AR287" s="30" t="s">
        <v>245</v>
      </c>
      <c r="AS287" s="30" t="s">
        <v>245</v>
      </c>
      <c r="AT287" s="30" t="s">
        <v>384</v>
      </c>
      <c r="AU287" s="30">
        <v>2019</v>
      </c>
      <c r="AV287" s="30">
        <v>669</v>
      </c>
      <c r="AW287" s="30" t="s">
        <v>245</v>
      </c>
      <c r="AX287" s="30" t="s">
        <v>245</v>
      </c>
      <c r="AY287" s="30" t="s">
        <v>245</v>
      </c>
      <c r="AZ287" s="30" t="s">
        <v>245</v>
      </c>
      <c r="BA287" s="30" t="s">
        <v>245</v>
      </c>
      <c r="BB287" s="30">
        <v>49</v>
      </c>
      <c r="BC287" s="30">
        <v>61</v>
      </c>
      <c r="BD287" s="30" t="s">
        <v>245</v>
      </c>
      <c r="BE287" s="30" t="s">
        <v>2476</v>
      </c>
      <c r="BF287" s="30" t="str">
        <f>HYPERLINK("http://dx.doi.org/10.1016/j.scitotenv.2019.03.037","http://dx.doi.org/10.1016/j.scitotenv.2019.03.037")</f>
        <v>http://dx.doi.org/10.1016/j.scitotenv.2019.03.037</v>
      </c>
      <c r="BG287" s="30" t="s">
        <v>245</v>
      </c>
      <c r="BH287" s="30" t="s">
        <v>245</v>
      </c>
      <c r="BI287" s="30" t="s">
        <v>245</v>
      </c>
      <c r="BJ287" s="30" t="s">
        <v>245</v>
      </c>
      <c r="BK287" s="30" t="s">
        <v>245</v>
      </c>
      <c r="BL287" s="30" t="s">
        <v>245</v>
      </c>
      <c r="BM287" s="30" t="s">
        <v>245</v>
      </c>
      <c r="BN287" s="30">
        <v>30878940</v>
      </c>
      <c r="BO287" s="30" t="s">
        <v>245</v>
      </c>
      <c r="BP287" s="30" t="s">
        <v>245</v>
      </c>
      <c r="BQ287" s="30" t="s">
        <v>245</v>
      </c>
      <c r="BR287" s="30" t="s">
        <v>245</v>
      </c>
      <c r="BS287" s="30" t="s">
        <v>2477</v>
      </c>
      <c r="BT287" s="30" t="str">
        <f>HYPERLINK("https%3A%2F%2Fwww.webofscience.com%2Fwos%2Fwoscc%2Ffull-record%2FWOS:000463663500006","View Full Record in Web of Science")</f>
        <v>View Full Record in Web of Science</v>
      </c>
    </row>
    <row r="288" spans="1:72" x14ac:dyDescent="0.2">
      <c r="A288" s="30" t="s">
        <v>243</v>
      </c>
      <c r="B288" s="30" t="s">
        <v>2478</v>
      </c>
      <c r="C288" s="30" t="s">
        <v>245</v>
      </c>
      <c r="D288" s="30" t="s">
        <v>245</v>
      </c>
      <c r="E288" s="30" t="s">
        <v>245</v>
      </c>
      <c r="F288" s="30" t="s">
        <v>2478</v>
      </c>
      <c r="G288" s="30" t="s">
        <v>245</v>
      </c>
      <c r="H288" s="30" t="s">
        <v>245</v>
      </c>
      <c r="I288" s="30" t="s">
        <v>2479</v>
      </c>
      <c r="J288" s="30" t="s">
        <v>691</v>
      </c>
      <c r="K288" s="30" t="s">
        <v>245</v>
      </c>
      <c r="L288" s="30" t="s">
        <v>245</v>
      </c>
      <c r="M288" s="30" t="s">
        <v>245</v>
      </c>
      <c r="N288" s="30" t="s">
        <v>245</v>
      </c>
      <c r="O288" s="30" t="s">
        <v>245</v>
      </c>
      <c r="P288" s="30" t="s">
        <v>245</v>
      </c>
      <c r="Q288" s="30" t="s">
        <v>245</v>
      </c>
      <c r="R288" s="30" t="s">
        <v>245</v>
      </c>
      <c r="S288" s="30" t="s">
        <v>245</v>
      </c>
      <c r="T288" s="30" t="s">
        <v>245</v>
      </c>
      <c r="U288" s="30" t="s">
        <v>245</v>
      </c>
      <c r="V288" s="30" t="s">
        <v>245</v>
      </c>
      <c r="W288" s="30" t="s">
        <v>245</v>
      </c>
      <c r="X288" s="30" t="s">
        <v>245</v>
      </c>
      <c r="Y288" s="30" t="s">
        <v>245</v>
      </c>
      <c r="Z288" s="30" t="s">
        <v>245</v>
      </c>
      <c r="AA288" s="30" t="s">
        <v>2480</v>
      </c>
      <c r="AB288" s="30" t="s">
        <v>2481</v>
      </c>
      <c r="AC288" s="30" t="s">
        <v>245</v>
      </c>
      <c r="AD288" s="30" t="s">
        <v>245</v>
      </c>
      <c r="AE288" s="30" t="s">
        <v>245</v>
      </c>
      <c r="AF288" s="30" t="s">
        <v>245</v>
      </c>
      <c r="AG288" s="30" t="s">
        <v>245</v>
      </c>
      <c r="AH288" s="30" t="s">
        <v>245</v>
      </c>
      <c r="AI288" s="30" t="s">
        <v>245</v>
      </c>
      <c r="AJ288" s="30" t="s">
        <v>245</v>
      </c>
      <c r="AK288" s="30" t="s">
        <v>245</v>
      </c>
      <c r="AL288" s="30" t="s">
        <v>245</v>
      </c>
      <c r="AM288" s="30" t="s">
        <v>245</v>
      </c>
      <c r="AN288" s="30" t="s">
        <v>245</v>
      </c>
      <c r="AO288" s="30" t="s">
        <v>692</v>
      </c>
      <c r="AP288" s="30" t="s">
        <v>245</v>
      </c>
      <c r="AQ288" s="30" t="s">
        <v>245</v>
      </c>
      <c r="AR288" s="30" t="s">
        <v>245</v>
      </c>
      <c r="AS288" s="30" t="s">
        <v>245</v>
      </c>
      <c r="AT288" s="30" t="s">
        <v>2482</v>
      </c>
      <c r="AU288" s="30">
        <v>2005</v>
      </c>
      <c r="AV288" s="30">
        <v>89</v>
      </c>
      <c r="AW288" s="30">
        <v>11</v>
      </c>
      <c r="AX288" s="30" t="s">
        <v>245</v>
      </c>
      <c r="AY288" s="30" t="s">
        <v>245</v>
      </c>
      <c r="AZ288" s="30" t="s">
        <v>245</v>
      </c>
      <c r="BA288" s="30" t="s">
        <v>245</v>
      </c>
      <c r="BB288" s="30">
        <v>1904</v>
      </c>
      <c r="BC288" s="30">
        <v>1912</v>
      </c>
      <c r="BD288" s="30" t="s">
        <v>245</v>
      </c>
      <c r="BE288" s="30" t="s">
        <v>245</v>
      </c>
      <c r="BF288" s="30" t="s">
        <v>245</v>
      </c>
      <c r="BG288" s="30" t="s">
        <v>245</v>
      </c>
      <c r="BH288" s="30" t="s">
        <v>245</v>
      </c>
      <c r="BI288" s="30" t="s">
        <v>245</v>
      </c>
      <c r="BJ288" s="30" t="s">
        <v>245</v>
      </c>
      <c r="BK288" s="30" t="s">
        <v>245</v>
      </c>
      <c r="BL288" s="30" t="s">
        <v>245</v>
      </c>
      <c r="BM288" s="30" t="s">
        <v>245</v>
      </c>
      <c r="BN288" s="30" t="s">
        <v>245</v>
      </c>
      <c r="BO288" s="30" t="s">
        <v>245</v>
      </c>
      <c r="BP288" s="30" t="s">
        <v>245</v>
      </c>
      <c r="BQ288" s="30" t="s">
        <v>245</v>
      </c>
      <c r="BR288" s="30" t="s">
        <v>245</v>
      </c>
      <c r="BS288" s="30" t="s">
        <v>2483</v>
      </c>
      <c r="BT288" s="30" t="str">
        <f>HYPERLINK("https%3A%2F%2Fwww.webofscience.com%2Fwos%2Fwoscc%2Ffull-record%2FWOS:000234089000026","View Full Record in Web of Science")</f>
        <v>View Full Record in Web of Science</v>
      </c>
    </row>
    <row r="289" spans="1:72" x14ac:dyDescent="0.2">
      <c r="A289" s="30" t="s">
        <v>243</v>
      </c>
      <c r="B289" s="30" t="s">
        <v>2484</v>
      </c>
      <c r="C289" s="30" t="s">
        <v>245</v>
      </c>
      <c r="D289" s="30" t="s">
        <v>245</v>
      </c>
      <c r="E289" s="30" t="s">
        <v>245</v>
      </c>
      <c r="F289" s="30" t="s">
        <v>2485</v>
      </c>
      <c r="G289" s="30" t="s">
        <v>245</v>
      </c>
      <c r="H289" s="30" t="s">
        <v>245</v>
      </c>
      <c r="I289" s="30" t="s">
        <v>2486</v>
      </c>
      <c r="J289" s="30" t="s">
        <v>541</v>
      </c>
      <c r="K289" s="30" t="s">
        <v>245</v>
      </c>
      <c r="L289" s="30" t="s">
        <v>245</v>
      </c>
      <c r="M289" s="30" t="s">
        <v>245</v>
      </c>
      <c r="N289" s="30" t="s">
        <v>245</v>
      </c>
      <c r="O289" s="30" t="s">
        <v>245</v>
      </c>
      <c r="P289" s="30" t="s">
        <v>245</v>
      </c>
      <c r="Q289" s="30" t="s">
        <v>245</v>
      </c>
      <c r="R289" s="30" t="s">
        <v>245</v>
      </c>
      <c r="S289" s="30" t="s">
        <v>245</v>
      </c>
      <c r="T289" s="30" t="s">
        <v>245</v>
      </c>
      <c r="U289" s="30" t="s">
        <v>245</v>
      </c>
      <c r="V289" s="30" t="s">
        <v>245</v>
      </c>
      <c r="W289" s="30" t="s">
        <v>245</v>
      </c>
      <c r="X289" s="30" t="s">
        <v>245</v>
      </c>
      <c r="Y289" s="30" t="s">
        <v>245</v>
      </c>
      <c r="Z289" s="30" t="s">
        <v>245</v>
      </c>
      <c r="AA289" s="30" t="s">
        <v>2487</v>
      </c>
      <c r="AB289" s="30" t="s">
        <v>2488</v>
      </c>
      <c r="AC289" s="30" t="s">
        <v>245</v>
      </c>
      <c r="AD289" s="30" t="s">
        <v>245</v>
      </c>
      <c r="AE289" s="30" t="s">
        <v>245</v>
      </c>
      <c r="AF289" s="30" t="s">
        <v>245</v>
      </c>
      <c r="AG289" s="30" t="s">
        <v>245</v>
      </c>
      <c r="AH289" s="30" t="s">
        <v>245</v>
      </c>
      <c r="AI289" s="30" t="s">
        <v>245</v>
      </c>
      <c r="AJ289" s="30" t="s">
        <v>245</v>
      </c>
      <c r="AK289" s="30" t="s">
        <v>245</v>
      </c>
      <c r="AL289" s="30" t="s">
        <v>245</v>
      </c>
      <c r="AM289" s="30" t="s">
        <v>245</v>
      </c>
      <c r="AN289" s="30" t="s">
        <v>245</v>
      </c>
      <c r="AO289" s="30" t="s">
        <v>544</v>
      </c>
      <c r="AP289" s="30" t="s">
        <v>545</v>
      </c>
      <c r="AQ289" s="30" t="s">
        <v>245</v>
      </c>
      <c r="AR289" s="30" t="s">
        <v>245</v>
      </c>
      <c r="AS289" s="30" t="s">
        <v>245</v>
      </c>
      <c r="AT289" s="30" t="s">
        <v>635</v>
      </c>
      <c r="AU289" s="30">
        <v>2021</v>
      </c>
      <c r="AV289" s="30">
        <v>319</v>
      </c>
      <c r="AW289" s="30" t="s">
        <v>245</v>
      </c>
      <c r="AX289" s="30" t="s">
        <v>245</v>
      </c>
      <c r="AY289" s="30" t="s">
        <v>245</v>
      </c>
      <c r="AZ289" s="30" t="s">
        <v>245</v>
      </c>
      <c r="BA289" s="30" t="s">
        <v>245</v>
      </c>
      <c r="BB289" s="30" t="s">
        <v>245</v>
      </c>
      <c r="BC289" s="30" t="s">
        <v>245</v>
      </c>
      <c r="BD289" s="30">
        <v>107552</v>
      </c>
      <c r="BE289" s="30" t="s">
        <v>2489</v>
      </c>
      <c r="BF289" s="30" t="str">
        <f>HYPERLINK("http://dx.doi.org/10.1016/j.agee.2021.107552","http://dx.doi.org/10.1016/j.agee.2021.107552")</f>
        <v>http://dx.doi.org/10.1016/j.agee.2021.107552</v>
      </c>
      <c r="BG289" s="30" t="s">
        <v>245</v>
      </c>
      <c r="BH289" s="30" t="s">
        <v>1328</v>
      </c>
      <c r="BI289" s="30" t="s">
        <v>245</v>
      </c>
      <c r="BJ289" s="30" t="s">
        <v>245</v>
      </c>
      <c r="BK289" s="30" t="s">
        <v>245</v>
      </c>
      <c r="BL289" s="30" t="s">
        <v>245</v>
      </c>
      <c r="BM289" s="30" t="s">
        <v>245</v>
      </c>
      <c r="BN289" s="30" t="s">
        <v>245</v>
      </c>
      <c r="BO289" s="30" t="s">
        <v>245</v>
      </c>
      <c r="BP289" s="30" t="s">
        <v>245</v>
      </c>
      <c r="BQ289" s="30" t="s">
        <v>245</v>
      </c>
      <c r="BR289" s="30" t="s">
        <v>245</v>
      </c>
      <c r="BS289" s="30" t="s">
        <v>2490</v>
      </c>
      <c r="BT289" s="30" t="str">
        <f>HYPERLINK("https%3A%2F%2Fwww.webofscience.com%2Fwos%2Fwoscc%2Ffull-record%2FWOS:000681697600004","View Full Record in Web of Science")</f>
        <v>View Full Record in Web of Science</v>
      </c>
    </row>
    <row r="290" spans="1:72" x14ac:dyDescent="0.2">
      <c r="A290" s="30" t="s">
        <v>243</v>
      </c>
      <c r="B290" s="30" t="s">
        <v>2491</v>
      </c>
      <c r="C290" s="30" t="s">
        <v>245</v>
      </c>
      <c r="D290" s="30" t="s">
        <v>245</v>
      </c>
      <c r="E290" s="30" t="s">
        <v>245</v>
      </c>
      <c r="F290" s="30" t="s">
        <v>2492</v>
      </c>
      <c r="G290" s="30" t="s">
        <v>245</v>
      </c>
      <c r="H290" s="30" t="s">
        <v>245</v>
      </c>
      <c r="I290" s="30" t="s">
        <v>2493</v>
      </c>
      <c r="J290" s="30" t="s">
        <v>271</v>
      </c>
      <c r="K290" s="30" t="s">
        <v>245</v>
      </c>
      <c r="L290" s="30" t="s">
        <v>245</v>
      </c>
      <c r="M290" s="30" t="s">
        <v>245</v>
      </c>
      <c r="N290" s="30" t="s">
        <v>245</v>
      </c>
      <c r="O290" s="30" t="s">
        <v>245</v>
      </c>
      <c r="P290" s="30" t="s">
        <v>245</v>
      </c>
      <c r="Q290" s="30" t="s">
        <v>245</v>
      </c>
      <c r="R290" s="30" t="s">
        <v>245</v>
      </c>
      <c r="S290" s="30" t="s">
        <v>245</v>
      </c>
      <c r="T290" s="30" t="s">
        <v>245</v>
      </c>
      <c r="U290" s="30" t="s">
        <v>245</v>
      </c>
      <c r="V290" s="30" t="s">
        <v>245</v>
      </c>
      <c r="W290" s="30" t="s">
        <v>245</v>
      </c>
      <c r="X290" s="30" t="s">
        <v>245</v>
      </c>
      <c r="Y290" s="30" t="s">
        <v>245</v>
      </c>
      <c r="Z290" s="30" t="s">
        <v>245</v>
      </c>
      <c r="AA290" s="30" t="s">
        <v>2494</v>
      </c>
      <c r="AB290" s="30" t="s">
        <v>2495</v>
      </c>
      <c r="AC290" s="30" t="s">
        <v>245</v>
      </c>
      <c r="AD290" s="30" t="s">
        <v>245</v>
      </c>
      <c r="AE290" s="30" t="s">
        <v>245</v>
      </c>
      <c r="AF290" s="30" t="s">
        <v>245</v>
      </c>
      <c r="AG290" s="30" t="s">
        <v>245</v>
      </c>
      <c r="AH290" s="30" t="s">
        <v>245</v>
      </c>
      <c r="AI290" s="30" t="s">
        <v>245</v>
      </c>
      <c r="AJ290" s="30" t="s">
        <v>245</v>
      </c>
      <c r="AK290" s="30" t="s">
        <v>245</v>
      </c>
      <c r="AL290" s="30" t="s">
        <v>245</v>
      </c>
      <c r="AM290" s="30" t="s">
        <v>245</v>
      </c>
      <c r="AN290" s="30" t="s">
        <v>245</v>
      </c>
      <c r="AO290" s="30" t="s">
        <v>274</v>
      </c>
      <c r="AP290" s="30" t="s">
        <v>275</v>
      </c>
      <c r="AQ290" s="30" t="s">
        <v>245</v>
      </c>
      <c r="AR290" s="30" t="s">
        <v>245</v>
      </c>
      <c r="AS290" s="30" t="s">
        <v>245</v>
      </c>
      <c r="AT290" s="30" t="s">
        <v>770</v>
      </c>
      <c r="AU290" s="30">
        <v>2008</v>
      </c>
      <c r="AV290" s="30">
        <v>42</v>
      </c>
      <c r="AW290" s="30">
        <v>11</v>
      </c>
      <c r="AX290" s="30" t="s">
        <v>245</v>
      </c>
      <c r="AY290" s="30" t="s">
        <v>245</v>
      </c>
      <c r="AZ290" s="30" t="s">
        <v>245</v>
      </c>
      <c r="BA290" s="30" t="s">
        <v>245</v>
      </c>
      <c r="BB290" s="30">
        <v>3975</v>
      </c>
      <c r="BC290" s="30">
        <v>3981</v>
      </c>
      <c r="BD290" s="30" t="s">
        <v>245</v>
      </c>
      <c r="BE290" s="30" t="s">
        <v>2496</v>
      </c>
      <c r="BF290" s="30" t="str">
        <f>HYPERLINK("http://dx.doi.org/10.1021/es702390b","http://dx.doi.org/10.1021/es702390b")</f>
        <v>http://dx.doi.org/10.1021/es702390b</v>
      </c>
      <c r="BG290" s="30" t="s">
        <v>245</v>
      </c>
      <c r="BH290" s="30" t="s">
        <v>245</v>
      </c>
      <c r="BI290" s="30" t="s">
        <v>245</v>
      </c>
      <c r="BJ290" s="30" t="s">
        <v>245</v>
      </c>
      <c r="BK290" s="30" t="s">
        <v>245</v>
      </c>
      <c r="BL290" s="30" t="s">
        <v>245</v>
      </c>
      <c r="BM290" s="30" t="s">
        <v>245</v>
      </c>
      <c r="BN290" s="30">
        <v>18589954</v>
      </c>
      <c r="BO290" s="30" t="s">
        <v>245</v>
      </c>
      <c r="BP290" s="30" t="s">
        <v>245</v>
      </c>
      <c r="BQ290" s="30" t="s">
        <v>245</v>
      </c>
      <c r="BR290" s="30" t="s">
        <v>245</v>
      </c>
      <c r="BS290" s="30" t="s">
        <v>2497</v>
      </c>
      <c r="BT290" s="30" t="str">
        <f>HYPERLINK("https%3A%2F%2Fwww.webofscience.com%2Fwos%2Fwoscc%2Ffull-record%2FWOS:000256274300016","View Full Record in Web of Science")</f>
        <v>View Full Record in Web of Science</v>
      </c>
    </row>
    <row r="291" spans="1:72" x14ac:dyDescent="0.2">
      <c r="A291" s="30" t="s">
        <v>243</v>
      </c>
      <c r="B291" s="30" t="s">
        <v>2498</v>
      </c>
      <c r="C291" s="30" t="s">
        <v>245</v>
      </c>
      <c r="D291" s="30" t="s">
        <v>245</v>
      </c>
      <c r="E291" s="30" t="s">
        <v>245</v>
      </c>
      <c r="F291" s="30" t="s">
        <v>2499</v>
      </c>
      <c r="G291" s="30" t="s">
        <v>245</v>
      </c>
      <c r="H291" s="30" t="s">
        <v>245</v>
      </c>
      <c r="I291" s="30" t="s">
        <v>2500</v>
      </c>
      <c r="J291" s="30" t="s">
        <v>469</v>
      </c>
      <c r="K291" s="30" t="s">
        <v>245</v>
      </c>
      <c r="L291" s="30" t="s">
        <v>245</v>
      </c>
      <c r="M291" s="30" t="s">
        <v>245</v>
      </c>
      <c r="N291" s="30" t="s">
        <v>245</v>
      </c>
      <c r="O291" s="30" t="s">
        <v>245</v>
      </c>
      <c r="P291" s="30" t="s">
        <v>245</v>
      </c>
      <c r="Q291" s="30" t="s">
        <v>245</v>
      </c>
      <c r="R291" s="30" t="s">
        <v>245</v>
      </c>
      <c r="S291" s="30" t="s">
        <v>245</v>
      </c>
      <c r="T291" s="30" t="s">
        <v>245</v>
      </c>
      <c r="U291" s="30" t="s">
        <v>245</v>
      </c>
      <c r="V291" s="30" t="s">
        <v>245</v>
      </c>
      <c r="W291" s="30" t="s">
        <v>245</v>
      </c>
      <c r="X291" s="30" t="s">
        <v>245</v>
      </c>
      <c r="Y291" s="30" t="s">
        <v>245</v>
      </c>
      <c r="Z291" s="30" t="s">
        <v>245</v>
      </c>
      <c r="AA291" s="30" t="s">
        <v>2501</v>
      </c>
      <c r="AB291" s="30" t="s">
        <v>2502</v>
      </c>
      <c r="AC291" s="30" t="s">
        <v>245</v>
      </c>
      <c r="AD291" s="30" t="s">
        <v>245</v>
      </c>
      <c r="AE291" s="30" t="s">
        <v>245</v>
      </c>
      <c r="AF291" s="30" t="s">
        <v>245</v>
      </c>
      <c r="AG291" s="30" t="s">
        <v>245</v>
      </c>
      <c r="AH291" s="30" t="s">
        <v>245</v>
      </c>
      <c r="AI291" s="30" t="s">
        <v>245</v>
      </c>
      <c r="AJ291" s="30" t="s">
        <v>245</v>
      </c>
      <c r="AK291" s="30" t="s">
        <v>245</v>
      </c>
      <c r="AL291" s="30" t="s">
        <v>245</v>
      </c>
      <c r="AM291" s="30" t="s">
        <v>245</v>
      </c>
      <c r="AN291" s="30" t="s">
        <v>245</v>
      </c>
      <c r="AO291" s="30" t="s">
        <v>472</v>
      </c>
      <c r="AP291" s="30" t="s">
        <v>473</v>
      </c>
      <c r="AQ291" s="30" t="s">
        <v>245</v>
      </c>
      <c r="AR291" s="30" t="s">
        <v>245</v>
      </c>
      <c r="AS291" s="30" t="s">
        <v>245</v>
      </c>
      <c r="AT291" s="30" t="s">
        <v>550</v>
      </c>
      <c r="AU291" s="30">
        <v>2013</v>
      </c>
      <c r="AV291" s="30">
        <v>209</v>
      </c>
      <c r="AW291" s="30" t="s">
        <v>245</v>
      </c>
      <c r="AX291" s="30" t="s">
        <v>245</v>
      </c>
      <c r="AY291" s="30" t="s">
        <v>245</v>
      </c>
      <c r="AZ291" s="30" t="s">
        <v>245</v>
      </c>
      <c r="BA291" s="30" t="s">
        <v>245</v>
      </c>
      <c r="BB291" s="30">
        <v>41</v>
      </c>
      <c r="BC291" s="30">
        <v>49</v>
      </c>
      <c r="BD291" s="30" t="s">
        <v>245</v>
      </c>
      <c r="BE291" s="30" t="s">
        <v>2503</v>
      </c>
      <c r="BF291" s="30" t="str">
        <f>HYPERLINK("http://dx.doi.org/10.1016/j.geoderma.2013.05.025","http://dx.doi.org/10.1016/j.geoderma.2013.05.025")</f>
        <v>http://dx.doi.org/10.1016/j.geoderma.2013.05.025</v>
      </c>
      <c r="BG291" s="30" t="s">
        <v>245</v>
      </c>
      <c r="BH291" s="30" t="s">
        <v>245</v>
      </c>
      <c r="BI291" s="30" t="s">
        <v>245</v>
      </c>
      <c r="BJ291" s="30" t="s">
        <v>245</v>
      </c>
      <c r="BK291" s="30" t="s">
        <v>245</v>
      </c>
      <c r="BL291" s="30" t="s">
        <v>245</v>
      </c>
      <c r="BM291" s="30" t="s">
        <v>245</v>
      </c>
      <c r="BN291" s="30" t="s">
        <v>245</v>
      </c>
      <c r="BO291" s="30" t="s">
        <v>245</v>
      </c>
      <c r="BP291" s="30" t="s">
        <v>245</v>
      </c>
      <c r="BQ291" s="30" t="s">
        <v>245</v>
      </c>
      <c r="BR291" s="30" t="s">
        <v>245</v>
      </c>
      <c r="BS291" s="30" t="s">
        <v>2504</v>
      </c>
      <c r="BT291" s="30" t="str">
        <f>HYPERLINK("https%3A%2F%2Fwww.webofscience.com%2Fwos%2Fwoscc%2Ffull-record%2FWOS:000324014400005","View Full Record in Web of Science")</f>
        <v>View Full Record in Web of Science</v>
      </c>
    </row>
    <row r="292" spans="1:72" x14ac:dyDescent="0.2">
      <c r="A292" s="30" t="s">
        <v>243</v>
      </c>
      <c r="B292" s="30" t="s">
        <v>2505</v>
      </c>
      <c r="C292" s="30" t="s">
        <v>245</v>
      </c>
      <c r="D292" s="30" t="s">
        <v>245</v>
      </c>
      <c r="E292" s="30" t="s">
        <v>245</v>
      </c>
      <c r="F292" s="30" t="s">
        <v>2506</v>
      </c>
      <c r="G292" s="30" t="s">
        <v>245</v>
      </c>
      <c r="H292" s="30" t="s">
        <v>245</v>
      </c>
      <c r="I292" s="30" t="s">
        <v>2507</v>
      </c>
      <c r="J292" s="30" t="s">
        <v>784</v>
      </c>
      <c r="K292" s="30" t="s">
        <v>245</v>
      </c>
      <c r="L292" s="30" t="s">
        <v>245</v>
      </c>
      <c r="M292" s="30" t="s">
        <v>245</v>
      </c>
      <c r="N292" s="30" t="s">
        <v>245</v>
      </c>
      <c r="O292" s="30" t="s">
        <v>245</v>
      </c>
      <c r="P292" s="30" t="s">
        <v>245</v>
      </c>
      <c r="Q292" s="30" t="s">
        <v>245</v>
      </c>
      <c r="R292" s="30" t="s">
        <v>245</v>
      </c>
      <c r="S292" s="30" t="s">
        <v>245</v>
      </c>
      <c r="T292" s="30" t="s">
        <v>245</v>
      </c>
      <c r="U292" s="30" t="s">
        <v>245</v>
      </c>
      <c r="V292" s="30" t="s">
        <v>245</v>
      </c>
      <c r="W292" s="30" t="s">
        <v>245</v>
      </c>
      <c r="X292" s="30" t="s">
        <v>245</v>
      </c>
      <c r="Y292" s="30" t="s">
        <v>245</v>
      </c>
      <c r="Z292" s="30" t="s">
        <v>245</v>
      </c>
      <c r="AA292" s="30" t="s">
        <v>2508</v>
      </c>
      <c r="AB292" s="30" t="s">
        <v>2509</v>
      </c>
      <c r="AC292" s="30" t="s">
        <v>245</v>
      </c>
      <c r="AD292" s="30" t="s">
        <v>245</v>
      </c>
      <c r="AE292" s="30" t="s">
        <v>245</v>
      </c>
      <c r="AF292" s="30" t="s">
        <v>245</v>
      </c>
      <c r="AG292" s="30" t="s">
        <v>245</v>
      </c>
      <c r="AH292" s="30" t="s">
        <v>245</v>
      </c>
      <c r="AI292" s="30" t="s">
        <v>245</v>
      </c>
      <c r="AJ292" s="30" t="s">
        <v>245</v>
      </c>
      <c r="AK292" s="30" t="s">
        <v>245</v>
      </c>
      <c r="AL292" s="30" t="s">
        <v>245</v>
      </c>
      <c r="AM292" s="30" t="s">
        <v>245</v>
      </c>
      <c r="AN292" s="30" t="s">
        <v>245</v>
      </c>
      <c r="AO292" s="30" t="s">
        <v>787</v>
      </c>
      <c r="AP292" s="30" t="s">
        <v>788</v>
      </c>
      <c r="AQ292" s="30" t="s">
        <v>245</v>
      </c>
      <c r="AR292" s="30" t="s">
        <v>245</v>
      </c>
      <c r="AS292" s="30" t="s">
        <v>245</v>
      </c>
      <c r="AT292" s="30" t="s">
        <v>354</v>
      </c>
      <c r="AU292" s="30">
        <v>2015</v>
      </c>
      <c r="AV292" s="30">
        <v>21</v>
      </c>
      <c r="AW292" s="30">
        <v>4</v>
      </c>
      <c r="AX292" s="30" t="s">
        <v>245</v>
      </c>
      <c r="AY292" s="30" t="s">
        <v>245</v>
      </c>
      <c r="AZ292" s="30" t="s">
        <v>245</v>
      </c>
      <c r="BA292" s="30" t="s">
        <v>245</v>
      </c>
      <c r="BB292" s="30">
        <v>1567</v>
      </c>
      <c r="BC292" s="30">
        <v>1580</v>
      </c>
      <c r="BD292" s="30" t="s">
        <v>245</v>
      </c>
      <c r="BE292" s="30" t="s">
        <v>2510</v>
      </c>
      <c r="BF292" s="30" t="str">
        <f>HYPERLINK("http://dx.doi.org/10.1111/gcb.12797","http://dx.doi.org/10.1111/gcb.12797")</f>
        <v>http://dx.doi.org/10.1111/gcb.12797</v>
      </c>
      <c r="BG292" s="30" t="s">
        <v>245</v>
      </c>
      <c r="BH292" s="30" t="s">
        <v>245</v>
      </c>
      <c r="BI292" s="30" t="s">
        <v>245</v>
      </c>
      <c r="BJ292" s="30" t="s">
        <v>245</v>
      </c>
      <c r="BK292" s="30" t="s">
        <v>245</v>
      </c>
      <c r="BL292" s="30" t="s">
        <v>245</v>
      </c>
      <c r="BM292" s="30" t="s">
        <v>245</v>
      </c>
      <c r="BN292" s="30">
        <v>25367159</v>
      </c>
      <c r="BO292" s="30" t="s">
        <v>245</v>
      </c>
      <c r="BP292" s="30" t="s">
        <v>245</v>
      </c>
      <c r="BQ292" s="30" t="s">
        <v>245</v>
      </c>
      <c r="BR292" s="30" t="s">
        <v>245</v>
      </c>
      <c r="BS292" s="30" t="s">
        <v>2511</v>
      </c>
      <c r="BT292" s="30" t="str">
        <f>HYPERLINK("https%3A%2F%2Fwww.webofscience.com%2Fwos%2Fwoscc%2Ffull-record%2FWOS:000351214100019","View Full Record in Web of Science")</f>
        <v>View Full Record in Web of Science</v>
      </c>
    </row>
    <row r="293" spans="1:72" x14ac:dyDescent="0.2">
      <c r="A293" s="30" t="s">
        <v>243</v>
      </c>
      <c r="B293" s="30" t="s">
        <v>2512</v>
      </c>
      <c r="C293" s="30" t="s">
        <v>245</v>
      </c>
      <c r="D293" s="30" t="s">
        <v>245</v>
      </c>
      <c r="E293" s="30" t="s">
        <v>245</v>
      </c>
      <c r="F293" s="30" t="s">
        <v>2513</v>
      </c>
      <c r="G293" s="30" t="s">
        <v>245</v>
      </c>
      <c r="H293" s="30" t="s">
        <v>245</v>
      </c>
      <c r="I293" s="30" t="s">
        <v>2514</v>
      </c>
      <c r="J293" s="30" t="s">
        <v>2515</v>
      </c>
      <c r="K293" s="30" t="s">
        <v>245</v>
      </c>
      <c r="L293" s="30" t="s">
        <v>245</v>
      </c>
      <c r="M293" s="30" t="s">
        <v>245</v>
      </c>
      <c r="N293" s="30" t="s">
        <v>245</v>
      </c>
      <c r="O293" s="30" t="s">
        <v>245</v>
      </c>
      <c r="P293" s="30" t="s">
        <v>245</v>
      </c>
      <c r="Q293" s="30" t="s">
        <v>245</v>
      </c>
      <c r="R293" s="30" t="s">
        <v>245</v>
      </c>
      <c r="S293" s="30" t="s">
        <v>245</v>
      </c>
      <c r="T293" s="30" t="s">
        <v>245</v>
      </c>
      <c r="U293" s="30" t="s">
        <v>245</v>
      </c>
      <c r="V293" s="30" t="s">
        <v>245</v>
      </c>
      <c r="W293" s="30" t="s">
        <v>245</v>
      </c>
      <c r="X293" s="30" t="s">
        <v>245</v>
      </c>
      <c r="Y293" s="30" t="s">
        <v>245</v>
      </c>
      <c r="Z293" s="30" t="s">
        <v>245</v>
      </c>
      <c r="AA293" s="30" t="s">
        <v>2516</v>
      </c>
      <c r="AB293" s="30" t="s">
        <v>2517</v>
      </c>
      <c r="AC293" s="30" t="s">
        <v>245</v>
      </c>
      <c r="AD293" s="30" t="s">
        <v>245</v>
      </c>
      <c r="AE293" s="30" t="s">
        <v>245</v>
      </c>
      <c r="AF293" s="30" t="s">
        <v>245</v>
      </c>
      <c r="AG293" s="30" t="s">
        <v>245</v>
      </c>
      <c r="AH293" s="30" t="s">
        <v>245</v>
      </c>
      <c r="AI293" s="30" t="s">
        <v>245</v>
      </c>
      <c r="AJ293" s="30" t="s">
        <v>245</v>
      </c>
      <c r="AK293" s="30" t="s">
        <v>245</v>
      </c>
      <c r="AL293" s="30" t="s">
        <v>245</v>
      </c>
      <c r="AM293" s="30" t="s">
        <v>245</v>
      </c>
      <c r="AN293" s="30" t="s">
        <v>245</v>
      </c>
      <c r="AO293" s="30" t="s">
        <v>245</v>
      </c>
      <c r="AP293" s="30" t="s">
        <v>2518</v>
      </c>
      <c r="AQ293" s="30" t="s">
        <v>245</v>
      </c>
      <c r="AR293" s="30" t="s">
        <v>245</v>
      </c>
      <c r="AS293" s="30" t="s">
        <v>245</v>
      </c>
      <c r="AT293" s="30" t="s">
        <v>646</v>
      </c>
      <c r="AU293" s="30">
        <v>2024</v>
      </c>
      <c r="AV293" s="30">
        <v>5</v>
      </c>
      <c r="AW293" s="30">
        <v>7</v>
      </c>
      <c r="AX293" s="30" t="s">
        <v>245</v>
      </c>
      <c r="AY293" s="30" t="s">
        <v>245</v>
      </c>
      <c r="AZ293" s="30" t="s">
        <v>245</v>
      </c>
      <c r="BA293" s="30" t="s">
        <v>245</v>
      </c>
      <c r="BB293" s="30" t="s">
        <v>245</v>
      </c>
      <c r="BC293" s="30" t="s">
        <v>245</v>
      </c>
      <c r="BD293" s="30" t="s">
        <v>245</v>
      </c>
      <c r="BE293" s="30" t="s">
        <v>2519</v>
      </c>
      <c r="BF293" s="30" t="str">
        <f>HYPERLINK("http://dx.doi.org/10.1038/s43016-024-01004-y","http://dx.doi.org/10.1038/s43016-024-01004-y")</f>
        <v>http://dx.doi.org/10.1038/s43016-024-01004-y</v>
      </c>
      <c r="BG293" s="30" t="s">
        <v>245</v>
      </c>
      <c r="BH293" s="30" t="s">
        <v>2459</v>
      </c>
      <c r="BI293" s="30" t="s">
        <v>245</v>
      </c>
      <c r="BJ293" s="30" t="s">
        <v>245</v>
      </c>
      <c r="BK293" s="30" t="s">
        <v>245</v>
      </c>
      <c r="BL293" s="30" t="s">
        <v>245</v>
      </c>
      <c r="BM293" s="30" t="s">
        <v>245</v>
      </c>
      <c r="BN293" s="30">
        <v>38907010</v>
      </c>
      <c r="BO293" s="30" t="s">
        <v>245</v>
      </c>
      <c r="BP293" s="30" t="s">
        <v>245</v>
      </c>
      <c r="BQ293" s="30" t="s">
        <v>245</v>
      </c>
      <c r="BR293" s="30" t="s">
        <v>245</v>
      </c>
      <c r="BS293" s="30" t="s">
        <v>2520</v>
      </c>
      <c r="BT293" s="30" t="str">
        <f>HYPERLINK("https%3A%2F%2Fwww.webofscience.com%2Fwos%2Fwoscc%2Ffull-record%2FWOS:001252347900002","View Full Record in Web of Science")</f>
        <v>View Full Record in Web of Science</v>
      </c>
    </row>
    <row r="294" spans="1:72" x14ac:dyDescent="0.2">
      <c r="A294" s="30" t="s">
        <v>243</v>
      </c>
      <c r="B294" s="30" t="s">
        <v>2521</v>
      </c>
      <c r="C294" s="30" t="s">
        <v>245</v>
      </c>
      <c r="D294" s="30" t="s">
        <v>245</v>
      </c>
      <c r="E294" s="30" t="s">
        <v>245</v>
      </c>
      <c r="F294" s="30" t="s">
        <v>2522</v>
      </c>
      <c r="G294" s="30" t="s">
        <v>245</v>
      </c>
      <c r="H294" s="30" t="s">
        <v>245</v>
      </c>
      <c r="I294" s="30" t="s">
        <v>2523</v>
      </c>
      <c r="J294" s="30" t="s">
        <v>413</v>
      </c>
      <c r="K294" s="30" t="s">
        <v>245</v>
      </c>
      <c r="L294" s="30" t="s">
        <v>245</v>
      </c>
      <c r="M294" s="30" t="s">
        <v>245</v>
      </c>
      <c r="N294" s="30" t="s">
        <v>245</v>
      </c>
      <c r="O294" s="30" t="s">
        <v>245</v>
      </c>
      <c r="P294" s="30" t="s">
        <v>245</v>
      </c>
      <c r="Q294" s="30" t="s">
        <v>245</v>
      </c>
      <c r="R294" s="30" t="s">
        <v>245</v>
      </c>
      <c r="S294" s="30" t="s">
        <v>245</v>
      </c>
      <c r="T294" s="30" t="s">
        <v>245</v>
      </c>
      <c r="U294" s="30" t="s">
        <v>245</v>
      </c>
      <c r="V294" s="30" t="s">
        <v>245</v>
      </c>
      <c r="W294" s="30" t="s">
        <v>245</v>
      </c>
      <c r="X294" s="30" t="s">
        <v>245</v>
      </c>
      <c r="Y294" s="30" t="s">
        <v>245</v>
      </c>
      <c r="Z294" s="30" t="s">
        <v>245</v>
      </c>
      <c r="AA294" s="30" t="s">
        <v>2419</v>
      </c>
      <c r="AB294" s="30" t="s">
        <v>2524</v>
      </c>
      <c r="AC294" s="30" t="s">
        <v>245</v>
      </c>
      <c r="AD294" s="30" t="s">
        <v>245</v>
      </c>
      <c r="AE294" s="30" t="s">
        <v>245</v>
      </c>
      <c r="AF294" s="30" t="s">
        <v>245</v>
      </c>
      <c r="AG294" s="30" t="s">
        <v>245</v>
      </c>
      <c r="AH294" s="30" t="s">
        <v>245</v>
      </c>
      <c r="AI294" s="30" t="s">
        <v>245</v>
      </c>
      <c r="AJ294" s="30" t="s">
        <v>245</v>
      </c>
      <c r="AK294" s="30" t="s">
        <v>245</v>
      </c>
      <c r="AL294" s="30" t="s">
        <v>245</v>
      </c>
      <c r="AM294" s="30" t="s">
        <v>245</v>
      </c>
      <c r="AN294" s="30" t="s">
        <v>245</v>
      </c>
      <c r="AO294" s="30" t="s">
        <v>416</v>
      </c>
      <c r="AP294" s="30" t="s">
        <v>417</v>
      </c>
      <c r="AQ294" s="30" t="s">
        <v>245</v>
      </c>
      <c r="AR294" s="30" t="s">
        <v>245</v>
      </c>
      <c r="AS294" s="30" t="s">
        <v>245</v>
      </c>
      <c r="AT294" s="30" t="s">
        <v>2183</v>
      </c>
      <c r="AU294" s="30">
        <v>2021</v>
      </c>
      <c r="AV294" s="30">
        <v>767</v>
      </c>
      <c r="AW294" s="30" t="s">
        <v>245</v>
      </c>
      <c r="AX294" s="30" t="s">
        <v>245</v>
      </c>
      <c r="AY294" s="30" t="s">
        <v>245</v>
      </c>
      <c r="AZ294" s="30" t="s">
        <v>245</v>
      </c>
      <c r="BA294" s="30" t="s">
        <v>245</v>
      </c>
      <c r="BB294" s="30" t="s">
        <v>245</v>
      </c>
      <c r="BC294" s="30" t="s">
        <v>245</v>
      </c>
      <c r="BD294" s="30">
        <v>144210</v>
      </c>
      <c r="BE294" s="30" t="s">
        <v>2525</v>
      </c>
      <c r="BF294" s="30" t="str">
        <f>HYPERLINK("http://dx.doi.org/10.1016/j.scitotenv.2020.144210","http://dx.doi.org/10.1016/j.scitotenv.2020.144210")</f>
        <v>http://dx.doi.org/10.1016/j.scitotenv.2020.144210</v>
      </c>
      <c r="BG294" s="30" t="s">
        <v>245</v>
      </c>
      <c r="BH294" s="30" t="s">
        <v>1530</v>
      </c>
      <c r="BI294" s="30" t="s">
        <v>245</v>
      </c>
      <c r="BJ294" s="30" t="s">
        <v>245</v>
      </c>
      <c r="BK294" s="30" t="s">
        <v>245</v>
      </c>
      <c r="BL294" s="30" t="s">
        <v>245</v>
      </c>
      <c r="BM294" s="30" t="s">
        <v>245</v>
      </c>
      <c r="BN294" s="30">
        <v>33429280</v>
      </c>
      <c r="BO294" s="30" t="s">
        <v>245</v>
      </c>
      <c r="BP294" s="30" t="s">
        <v>245</v>
      </c>
      <c r="BQ294" s="30" t="s">
        <v>245</v>
      </c>
      <c r="BR294" s="30" t="s">
        <v>245</v>
      </c>
      <c r="BS294" s="30" t="s">
        <v>2526</v>
      </c>
      <c r="BT294" s="30" t="str">
        <f>HYPERLINK("https%3A%2F%2Fwww.webofscience.com%2Fwos%2Fwoscc%2Ffull-record%2FWOS:000617681100004","View Full Record in Web of Science")</f>
        <v>View Full Record in Web of Science</v>
      </c>
    </row>
    <row r="295" spans="1:72" x14ac:dyDescent="0.2">
      <c r="A295" s="30" t="s">
        <v>851</v>
      </c>
      <c r="B295" s="30" t="s">
        <v>2527</v>
      </c>
      <c r="C295" s="30" t="s">
        <v>245</v>
      </c>
      <c r="D295" s="30" t="s">
        <v>2528</v>
      </c>
      <c r="E295" s="30" t="s">
        <v>245</v>
      </c>
      <c r="F295" s="30" t="s">
        <v>2529</v>
      </c>
      <c r="G295" s="30" t="s">
        <v>245</v>
      </c>
      <c r="H295" s="30" t="s">
        <v>245</v>
      </c>
      <c r="I295" s="30" t="s">
        <v>2530</v>
      </c>
      <c r="J295" s="30" t="s">
        <v>2531</v>
      </c>
      <c r="K295" s="30" t="s">
        <v>245</v>
      </c>
      <c r="L295" s="30" t="s">
        <v>245</v>
      </c>
      <c r="M295" s="30" t="s">
        <v>245</v>
      </c>
      <c r="N295" s="30" t="s">
        <v>245</v>
      </c>
      <c r="O295" s="30" t="s">
        <v>2532</v>
      </c>
      <c r="P295" s="30" t="s">
        <v>2533</v>
      </c>
      <c r="Q295" s="30" t="s">
        <v>2534</v>
      </c>
      <c r="R295" s="30" t="s">
        <v>2535</v>
      </c>
      <c r="S295" s="30" t="s">
        <v>2536</v>
      </c>
      <c r="T295" s="30" t="s">
        <v>245</v>
      </c>
      <c r="U295" s="30" t="s">
        <v>245</v>
      </c>
      <c r="V295" s="30" t="s">
        <v>245</v>
      </c>
      <c r="W295" s="30" t="s">
        <v>245</v>
      </c>
      <c r="X295" s="30" t="s">
        <v>245</v>
      </c>
      <c r="Y295" s="30" t="s">
        <v>245</v>
      </c>
      <c r="Z295" s="30" t="s">
        <v>245</v>
      </c>
      <c r="AA295" s="30" t="s">
        <v>2537</v>
      </c>
      <c r="AB295" s="30" t="s">
        <v>2538</v>
      </c>
      <c r="AC295" s="30" t="s">
        <v>245</v>
      </c>
      <c r="AD295" s="30" t="s">
        <v>245</v>
      </c>
      <c r="AE295" s="30" t="s">
        <v>245</v>
      </c>
      <c r="AF295" s="30" t="s">
        <v>245</v>
      </c>
      <c r="AG295" s="30" t="s">
        <v>245</v>
      </c>
      <c r="AH295" s="30" t="s">
        <v>245</v>
      </c>
      <c r="AI295" s="30" t="s">
        <v>245</v>
      </c>
      <c r="AJ295" s="30" t="s">
        <v>245</v>
      </c>
      <c r="AK295" s="30" t="s">
        <v>245</v>
      </c>
      <c r="AL295" s="30" t="s">
        <v>245</v>
      </c>
      <c r="AM295" s="30" t="s">
        <v>245</v>
      </c>
      <c r="AN295" s="30" t="s">
        <v>245</v>
      </c>
      <c r="AO295" s="30" t="s">
        <v>245</v>
      </c>
      <c r="AP295" s="30" t="s">
        <v>245</v>
      </c>
      <c r="AQ295" s="30" t="s">
        <v>2539</v>
      </c>
      <c r="AR295" s="30" t="s">
        <v>245</v>
      </c>
      <c r="AS295" s="30" t="s">
        <v>245</v>
      </c>
      <c r="AT295" s="30" t="s">
        <v>245</v>
      </c>
      <c r="AU295" s="30">
        <v>2020</v>
      </c>
      <c r="AV295" s="30" t="s">
        <v>245</v>
      </c>
      <c r="AW295" s="30" t="s">
        <v>245</v>
      </c>
      <c r="AX295" s="30" t="s">
        <v>245</v>
      </c>
      <c r="AY295" s="30" t="s">
        <v>245</v>
      </c>
      <c r="AZ295" s="30" t="s">
        <v>245</v>
      </c>
      <c r="BA295" s="30" t="s">
        <v>245</v>
      </c>
      <c r="BB295" s="30">
        <v>33</v>
      </c>
      <c r="BC295" s="30">
        <v>40</v>
      </c>
      <c r="BD295" s="30" t="s">
        <v>245</v>
      </c>
      <c r="BE295" s="30" t="s">
        <v>245</v>
      </c>
      <c r="BF295" s="30" t="s">
        <v>245</v>
      </c>
      <c r="BG295" s="30" t="s">
        <v>245</v>
      </c>
      <c r="BH295" s="30" t="s">
        <v>245</v>
      </c>
      <c r="BI295" s="30" t="s">
        <v>245</v>
      </c>
      <c r="BJ295" s="30" t="s">
        <v>245</v>
      </c>
      <c r="BK295" s="30" t="s">
        <v>245</v>
      </c>
      <c r="BL295" s="30" t="s">
        <v>245</v>
      </c>
      <c r="BM295" s="30" t="s">
        <v>245</v>
      </c>
      <c r="BN295" s="30" t="s">
        <v>245</v>
      </c>
      <c r="BO295" s="30" t="s">
        <v>245</v>
      </c>
      <c r="BP295" s="30" t="s">
        <v>245</v>
      </c>
      <c r="BQ295" s="30" t="s">
        <v>245</v>
      </c>
      <c r="BR295" s="30" t="s">
        <v>245</v>
      </c>
      <c r="BS295" s="30" t="s">
        <v>2540</v>
      </c>
      <c r="BT295" s="30" t="str">
        <f>HYPERLINK("https%3A%2F%2Fwww.webofscience.com%2Fwos%2Fwoscc%2Ffull-record%2FWOS:000661271100005","View Full Record in Web of Science")</f>
        <v>View Full Record in Web of Science</v>
      </c>
    </row>
    <row r="296" spans="1:72" x14ac:dyDescent="0.2">
      <c r="A296" s="30" t="s">
        <v>243</v>
      </c>
      <c r="B296" s="30" t="s">
        <v>2541</v>
      </c>
      <c r="C296" s="30" t="s">
        <v>245</v>
      </c>
      <c r="D296" s="30" t="s">
        <v>245</v>
      </c>
      <c r="E296" s="30" t="s">
        <v>245</v>
      </c>
      <c r="F296" s="30" t="s">
        <v>2541</v>
      </c>
      <c r="G296" s="30" t="s">
        <v>245</v>
      </c>
      <c r="H296" s="30" t="s">
        <v>245</v>
      </c>
      <c r="I296" s="30" t="s">
        <v>2542</v>
      </c>
      <c r="J296" s="30" t="s">
        <v>2543</v>
      </c>
      <c r="K296" s="30" t="s">
        <v>245</v>
      </c>
      <c r="L296" s="30" t="s">
        <v>245</v>
      </c>
      <c r="M296" s="30" t="s">
        <v>245</v>
      </c>
      <c r="N296" s="30" t="s">
        <v>245</v>
      </c>
      <c r="O296" s="30" t="s">
        <v>245</v>
      </c>
      <c r="P296" s="30" t="s">
        <v>245</v>
      </c>
      <c r="Q296" s="30" t="s">
        <v>245</v>
      </c>
      <c r="R296" s="30" t="s">
        <v>245</v>
      </c>
      <c r="S296" s="30" t="s">
        <v>245</v>
      </c>
      <c r="T296" s="30" t="s">
        <v>245</v>
      </c>
      <c r="U296" s="30" t="s">
        <v>245</v>
      </c>
      <c r="V296" s="30" t="s">
        <v>245</v>
      </c>
      <c r="W296" s="30" t="s">
        <v>245</v>
      </c>
      <c r="X296" s="30" t="s">
        <v>245</v>
      </c>
      <c r="Y296" s="30" t="s">
        <v>245</v>
      </c>
      <c r="Z296" s="30" t="s">
        <v>245</v>
      </c>
      <c r="AA296" s="30" t="s">
        <v>2544</v>
      </c>
      <c r="AB296" s="30" t="s">
        <v>2545</v>
      </c>
      <c r="AC296" s="30" t="s">
        <v>245</v>
      </c>
      <c r="AD296" s="30" t="s">
        <v>245</v>
      </c>
      <c r="AE296" s="30" t="s">
        <v>245</v>
      </c>
      <c r="AF296" s="30" t="s">
        <v>245</v>
      </c>
      <c r="AG296" s="30" t="s">
        <v>245</v>
      </c>
      <c r="AH296" s="30" t="s">
        <v>245</v>
      </c>
      <c r="AI296" s="30" t="s">
        <v>245</v>
      </c>
      <c r="AJ296" s="30" t="s">
        <v>245</v>
      </c>
      <c r="AK296" s="30" t="s">
        <v>245</v>
      </c>
      <c r="AL296" s="30" t="s">
        <v>245</v>
      </c>
      <c r="AM296" s="30" t="s">
        <v>245</v>
      </c>
      <c r="AN296" s="30" t="s">
        <v>245</v>
      </c>
      <c r="AO296" s="30" t="s">
        <v>2546</v>
      </c>
      <c r="AP296" s="30" t="s">
        <v>2547</v>
      </c>
      <c r="AQ296" s="30" t="s">
        <v>245</v>
      </c>
      <c r="AR296" s="30" t="s">
        <v>245</v>
      </c>
      <c r="AS296" s="30" t="s">
        <v>245</v>
      </c>
      <c r="AT296" s="30" t="s">
        <v>435</v>
      </c>
      <c r="AU296" s="30">
        <v>2005</v>
      </c>
      <c r="AV296" s="30">
        <v>55</v>
      </c>
      <c r="AW296" s="30" t="s">
        <v>245</v>
      </c>
      <c r="AX296" s="30">
        <v>3</v>
      </c>
      <c r="AY296" s="30" t="s">
        <v>245</v>
      </c>
      <c r="AZ296" s="30" t="s">
        <v>245</v>
      </c>
      <c r="BA296" s="30" t="s">
        <v>245</v>
      </c>
      <c r="BB296" s="30">
        <v>1255</v>
      </c>
      <c r="BC296" s="30">
        <v>1265</v>
      </c>
      <c r="BD296" s="30" t="s">
        <v>245</v>
      </c>
      <c r="BE296" s="30" t="s">
        <v>2548</v>
      </c>
      <c r="BF296" s="30" t="str">
        <f>HYPERLINK("http://dx.doi.org/10.1099/ijs.0.63484-0","http://dx.doi.org/10.1099/ijs.0.63484-0")</f>
        <v>http://dx.doi.org/10.1099/ijs.0.63484-0</v>
      </c>
      <c r="BG296" s="30" t="s">
        <v>245</v>
      </c>
      <c r="BH296" s="30" t="s">
        <v>245</v>
      </c>
      <c r="BI296" s="30" t="s">
        <v>245</v>
      </c>
      <c r="BJ296" s="30" t="s">
        <v>245</v>
      </c>
      <c r="BK296" s="30" t="s">
        <v>245</v>
      </c>
      <c r="BL296" s="30" t="s">
        <v>245</v>
      </c>
      <c r="BM296" s="30" t="s">
        <v>245</v>
      </c>
      <c r="BN296" s="30">
        <v>15879265</v>
      </c>
      <c r="BO296" s="30" t="s">
        <v>245</v>
      </c>
      <c r="BP296" s="30" t="s">
        <v>245</v>
      </c>
      <c r="BQ296" s="30" t="s">
        <v>245</v>
      </c>
      <c r="BR296" s="30" t="s">
        <v>245</v>
      </c>
      <c r="BS296" s="30" t="s">
        <v>2549</v>
      </c>
      <c r="BT296" s="30" t="str">
        <f>HYPERLINK("https%3A%2F%2Fwww.webofscience.com%2Fwos%2Fwoscc%2Ffull-record%2FWOS:000229362700043","View Full Record in Web of Science")</f>
        <v>View Full Record in Web of Science</v>
      </c>
    </row>
    <row r="297" spans="1:72" x14ac:dyDescent="0.2">
      <c r="A297" s="30" t="s">
        <v>243</v>
      </c>
      <c r="B297" s="30" t="s">
        <v>2550</v>
      </c>
      <c r="C297" s="30" t="s">
        <v>245</v>
      </c>
      <c r="D297" s="30" t="s">
        <v>245</v>
      </c>
      <c r="E297" s="30" t="s">
        <v>245</v>
      </c>
      <c r="F297" s="30" t="s">
        <v>2551</v>
      </c>
      <c r="G297" s="30" t="s">
        <v>245</v>
      </c>
      <c r="H297" s="30" t="s">
        <v>245</v>
      </c>
      <c r="I297" s="30" t="s">
        <v>2552</v>
      </c>
      <c r="J297" s="30" t="s">
        <v>1591</v>
      </c>
      <c r="K297" s="30" t="s">
        <v>245</v>
      </c>
      <c r="L297" s="30" t="s">
        <v>245</v>
      </c>
      <c r="M297" s="30" t="s">
        <v>245</v>
      </c>
      <c r="N297" s="30" t="s">
        <v>245</v>
      </c>
      <c r="O297" s="30" t="s">
        <v>245</v>
      </c>
      <c r="P297" s="30" t="s">
        <v>245</v>
      </c>
      <c r="Q297" s="30" t="s">
        <v>245</v>
      </c>
      <c r="R297" s="30" t="s">
        <v>245</v>
      </c>
      <c r="S297" s="30" t="s">
        <v>245</v>
      </c>
      <c r="T297" s="30" t="s">
        <v>245</v>
      </c>
      <c r="U297" s="30" t="s">
        <v>245</v>
      </c>
      <c r="V297" s="30" t="s">
        <v>245</v>
      </c>
      <c r="W297" s="30" t="s">
        <v>245</v>
      </c>
      <c r="X297" s="30" t="s">
        <v>245</v>
      </c>
      <c r="Y297" s="30" t="s">
        <v>245</v>
      </c>
      <c r="Z297" s="30" t="s">
        <v>245</v>
      </c>
      <c r="AA297" s="30" t="s">
        <v>2553</v>
      </c>
      <c r="AB297" s="30" t="s">
        <v>2554</v>
      </c>
      <c r="AC297" s="30" t="s">
        <v>245</v>
      </c>
      <c r="AD297" s="30" t="s">
        <v>245</v>
      </c>
      <c r="AE297" s="30" t="s">
        <v>245</v>
      </c>
      <c r="AF297" s="30" t="s">
        <v>245</v>
      </c>
      <c r="AG297" s="30" t="s">
        <v>245</v>
      </c>
      <c r="AH297" s="30" t="s">
        <v>245</v>
      </c>
      <c r="AI297" s="30" t="s">
        <v>245</v>
      </c>
      <c r="AJ297" s="30" t="s">
        <v>245</v>
      </c>
      <c r="AK297" s="30" t="s">
        <v>245</v>
      </c>
      <c r="AL297" s="30" t="s">
        <v>245</v>
      </c>
      <c r="AM297" s="30" t="s">
        <v>245</v>
      </c>
      <c r="AN297" s="30" t="s">
        <v>245</v>
      </c>
      <c r="AO297" s="30" t="s">
        <v>1593</v>
      </c>
      <c r="AP297" s="30" t="s">
        <v>1594</v>
      </c>
      <c r="AQ297" s="30" t="s">
        <v>245</v>
      </c>
      <c r="AR297" s="30" t="s">
        <v>245</v>
      </c>
      <c r="AS297" s="30" t="s">
        <v>245</v>
      </c>
      <c r="AT297" s="30" t="s">
        <v>1357</v>
      </c>
      <c r="AU297" s="30">
        <v>2023</v>
      </c>
      <c r="AV297" s="30">
        <v>285</v>
      </c>
      <c r="AW297" s="30" t="s">
        <v>245</v>
      </c>
      <c r="AX297" s="30" t="s">
        <v>245</v>
      </c>
      <c r="AY297" s="30" t="s">
        <v>245</v>
      </c>
      <c r="AZ297" s="30" t="s">
        <v>245</v>
      </c>
      <c r="BA297" s="30" t="s">
        <v>245</v>
      </c>
      <c r="BB297" s="30" t="s">
        <v>245</v>
      </c>
      <c r="BC297" s="30" t="s">
        <v>245</v>
      </c>
      <c r="BD297" s="30">
        <v>108380</v>
      </c>
      <c r="BE297" s="30" t="s">
        <v>2555</v>
      </c>
      <c r="BF297" s="30" t="str">
        <f>HYPERLINK("http://dx.doi.org/10.1016/j.agwat.2023.108380","http://dx.doi.org/10.1016/j.agwat.2023.108380")</f>
        <v>http://dx.doi.org/10.1016/j.agwat.2023.108380</v>
      </c>
      <c r="BG297" s="30" t="s">
        <v>245</v>
      </c>
      <c r="BH297" s="30" t="s">
        <v>1202</v>
      </c>
      <c r="BI297" s="30" t="s">
        <v>245</v>
      </c>
      <c r="BJ297" s="30" t="s">
        <v>245</v>
      </c>
      <c r="BK297" s="30" t="s">
        <v>245</v>
      </c>
      <c r="BL297" s="30" t="s">
        <v>245</v>
      </c>
      <c r="BM297" s="30" t="s">
        <v>245</v>
      </c>
      <c r="BN297" s="30" t="s">
        <v>245</v>
      </c>
      <c r="BO297" s="30" t="s">
        <v>245</v>
      </c>
      <c r="BP297" s="30" t="s">
        <v>245</v>
      </c>
      <c r="BQ297" s="30" t="s">
        <v>245</v>
      </c>
      <c r="BR297" s="30" t="s">
        <v>245</v>
      </c>
      <c r="BS297" s="30" t="s">
        <v>2556</v>
      </c>
      <c r="BT297" s="30" t="str">
        <f>HYPERLINK("https%3A%2F%2Fwww.webofscience.com%2Fwos%2Fwoscc%2Ffull-record%2FWOS:001012034900001","View Full Record in Web of Science")</f>
        <v>View Full Record in Web of Science</v>
      </c>
    </row>
    <row r="298" spans="1:72" x14ac:dyDescent="0.2">
      <c r="A298" s="30" t="s">
        <v>243</v>
      </c>
      <c r="B298" s="30" t="s">
        <v>2557</v>
      </c>
      <c r="C298" s="30" t="s">
        <v>245</v>
      </c>
      <c r="D298" s="30" t="s">
        <v>245</v>
      </c>
      <c r="E298" s="30" t="s">
        <v>245</v>
      </c>
      <c r="F298" s="30" t="s">
        <v>2558</v>
      </c>
      <c r="G298" s="30" t="s">
        <v>245</v>
      </c>
      <c r="H298" s="30" t="s">
        <v>245</v>
      </c>
      <c r="I298" s="30" t="s">
        <v>2559</v>
      </c>
      <c r="J298" s="30" t="s">
        <v>413</v>
      </c>
      <c r="K298" s="30" t="s">
        <v>245</v>
      </c>
      <c r="L298" s="30" t="s">
        <v>245</v>
      </c>
      <c r="M298" s="30" t="s">
        <v>245</v>
      </c>
      <c r="N298" s="30" t="s">
        <v>245</v>
      </c>
      <c r="O298" s="30" t="s">
        <v>245</v>
      </c>
      <c r="P298" s="30" t="s">
        <v>245</v>
      </c>
      <c r="Q298" s="30" t="s">
        <v>245</v>
      </c>
      <c r="R298" s="30" t="s">
        <v>245</v>
      </c>
      <c r="S298" s="30" t="s">
        <v>245</v>
      </c>
      <c r="T298" s="30" t="s">
        <v>245</v>
      </c>
      <c r="U298" s="30" t="s">
        <v>245</v>
      </c>
      <c r="V298" s="30" t="s">
        <v>245</v>
      </c>
      <c r="W298" s="30" t="s">
        <v>245</v>
      </c>
      <c r="X298" s="30" t="s">
        <v>245</v>
      </c>
      <c r="Y298" s="30" t="s">
        <v>245</v>
      </c>
      <c r="Z298" s="30" t="s">
        <v>245</v>
      </c>
      <c r="AA298" s="30" t="s">
        <v>2560</v>
      </c>
      <c r="AB298" s="30" t="s">
        <v>2561</v>
      </c>
      <c r="AC298" s="30" t="s">
        <v>245</v>
      </c>
      <c r="AD298" s="30" t="s">
        <v>245</v>
      </c>
      <c r="AE298" s="30" t="s">
        <v>245</v>
      </c>
      <c r="AF298" s="30" t="s">
        <v>245</v>
      </c>
      <c r="AG298" s="30" t="s">
        <v>245</v>
      </c>
      <c r="AH298" s="30" t="s">
        <v>245</v>
      </c>
      <c r="AI298" s="30" t="s">
        <v>245</v>
      </c>
      <c r="AJ298" s="30" t="s">
        <v>245</v>
      </c>
      <c r="AK298" s="30" t="s">
        <v>245</v>
      </c>
      <c r="AL298" s="30" t="s">
        <v>245</v>
      </c>
      <c r="AM298" s="30" t="s">
        <v>245</v>
      </c>
      <c r="AN298" s="30" t="s">
        <v>245</v>
      </c>
      <c r="AO298" s="30" t="s">
        <v>416</v>
      </c>
      <c r="AP298" s="30" t="s">
        <v>417</v>
      </c>
      <c r="AQ298" s="30" t="s">
        <v>245</v>
      </c>
      <c r="AR298" s="30" t="s">
        <v>245</v>
      </c>
      <c r="AS298" s="30" t="s">
        <v>245</v>
      </c>
      <c r="AT298" s="30" t="s">
        <v>487</v>
      </c>
      <c r="AU298" s="30">
        <v>2018</v>
      </c>
      <c r="AV298" s="30">
        <v>616</v>
      </c>
      <c r="AW298" s="30" t="s">
        <v>245</v>
      </c>
      <c r="AX298" s="30" t="s">
        <v>245</v>
      </c>
      <c r="AY298" s="30" t="s">
        <v>245</v>
      </c>
      <c r="AZ298" s="30" t="s">
        <v>245</v>
      </c>
      <c r="BA298" s="30" t="s">
        <v>245</v>
      </c>
      <c r="BB298" s="30">
        <v>1457</v>
      </c>
      <c r="BC298" s="30">
        <v>1468</v>
      </c>
      <c r="BD298" s="30" t="s">
        <v>245</v>
      </c>
      <c r="BE298" s="30" t="s">
        <v>2562</v>
      </c>
      <c r="BF298" s="30" t="str">
        <f>HYPERLINK("http://dx.doi.org/10.1016/j.scitotenv.2017.10.168","http://dx.doi.org/10.1016/j.scitotenv.2017.10.168")</f>
        <v>http://dx.doi.org/10.1016/j.scitotenv.2017.10.168</v>
      </c>
      <c r="BG298" s="30" t="s">
        <v>245</v>
      </c>
      <c r="BH298" s="30" t="s">
        <v>245</v>
      </c>
      <c r="BI298" s="30" t="s">
        <v>245</v>
      </c>
      <c r="BJ298" s="30" t="s">
        <v>245</v>
      </c>
      <c r="BK298" s="30" t="s">
        <v>245</v>
      </c>
      <c r="BL298" s="30" t="s">
        <v>245</v>
      </c>
      <c r="BM298" s="30" t="s">
        <v>245</v>
      </c>
      <c r="BN298" s="30">
        <v>29074245</v>
      </c>
      <c r="BO298" s="30" t="s">
        <v>245</v>
      </c>
      <c r="BP298" s="30" t="s">
        <v>245</v>
      </c>
      <c r="BQ298" s="30" t="s">
        <v>245</v>
      </c>
      <c r="BR298" s="30" t="s">
        <v>245</v>
      </c>
      <c r="BS298" s="30" t="s">
        <v>2563</v>
      </c>
      <c r="BT298" s="30" t="str">
        <f>HYPERLINK("https%3A%2F%2Fwww.webofscience.com%2Fwos%2Fwoscc%2Ffull-record%2FWOS:000424121800146","View Full Record in Web of Science")</f>
        <v>View Full Record in Web of Science</v>
      </c>
    </row>
    <row r="299" spans="1:72" x14ac:dyDescent="0.2">
      <c r="A299" s="30" t="s">
        <v>243</v>
      </c>
      <c r="B299" s="30" t="s">
        <v>2564</v>
      </c>
      <c r="C299" s="30" t="s">
        <v>245</v>
      </c>
      <c r="D299" s="30" t="s">
        <v>245</v>
      </c>
      <c r="E299" s="30" t="s">
        <v>245</v>
      </c>
      <c r="F299" s="30" t="s">
        <v>2565</v>
      </c>
      <c r="G299" s="30" t="s">
        <v>245</v>
      </c>
      <c r="H299" s="30" t="s">
        <v>245</v>
      </c>
      <c r="I299" s="30" t="s">
        <v>2566</v>
      </c>
      <c r="J299" s="30" t="s">
        <v>363</v>
      </c>
      <c r="K299" s="30" t="s">
        <v>245</v>
      </c>
      <c r="L299" s="30" t="s">
        <v>245</v>
      </c>
      <c r="M299" s="30" t="s">
        <v>245</v>
      </c>
      <c r="N299" s="30" t="s">
        <v>245</v>
      </c>
      <c r="O299" s="30" t="s">
        <v>245</v>
      </c>
      <c r="P299" s="30" t="s">
        <v>245</v>
      </c>
      <c r="Q299" s="30" t="s">
        <v>245</v>
      </c>
      <c r="R299" s="30" t="s">
        <v>245</v>
      </c>
      <c r="S299" s="30" t="s">
        <v>245</v>
      </c>
      <c r="T299" s="30" t="s">
        <v>245</v>
      </c>
      <c r="U299" s="30" t="s">
        <v>245</v>
      </c>
      <c r="V299" s="30" t="s">
        <v>245</v>
      </c>
      <c r="W299" s="30" t="s">
        <v>245</v>
      </c>
      <c r="X299" s="30" t="s">
        <v>245</v>
      </c>
      <c r="Y299" s="30" t="s">
        <v>245</v>
      </c>
      <c r="Z299" s="30" t="s">
        <v>245</v>
      </c>
      <c r="AA299" s="30" t="s">
        <v>245</v>
      </c>
      <c r="AB299" s="30" t="s">
        <v>245</v>
      </c>
      <c r="AC299" s="30" t="s">
        <v>245</v>
      </c>
      <c r="AD299" s="30" t="s">
        <v>245</v>
      </c>
      <c r="AE299" s="30" t="s">
        <v>245</v>
      </c>
      <c r="AF299" s="30" t="s">
        <v>245</v>
      </c>
      <c r="AG299" s="30" t="s">
        <v>245</v>
      </c>
      <c r="AH299" s="30" t="s">
        <v>245</v>
      </c>
      <c r="AI299" s="30" t="s">
        <v>245</v>
      </c>
      <c r="AJ299" s="30" t="s">
        <v>245</v>
      </c>
      <c r="AK299" s="30" t="s">
        <v>245</v>
      </c>
      <c r="AL299" s="30" t="s">
        <v>245</v>
      </c>
      <c r="AM299" s="30" t="s">
        <v>245</v>
      </c>
      <c r="AN299" s="30" t="s">
        <v>245</v>
      </c>
      <c r="AO299" s="30" t="s">
        <v>364</v>
      </c>
      <c r="AP299" s="30" t="s">
        <v>2567</v>
      </c>
      <c r="AQ299" s="30" t="s">
        <v>245</v>
      </c>
      <c r="AR299" s="30" t="s">
        <v>245</v>
      </c>
      <c r="AS299" s="30" t="s">
        <v>245</v>
      </c>
      <c r="AT299" s="30" t="s">
        <v>365</v>
      </c>
      <c r="AU299" s="30">
        <v>2012</v>
      </c>
      <c r="AV299" s="30">
        <v>58</v>
      </c>
      <c r="AW299" s="30">
        <v>2</v>
      </c>
      <c r="AX299" s="30" t="s">
        <v>245</v>
      </c>
      <c r="AY299" s="30" t="s">
        <v>245</v>
      </c>
      <c r="AZ299" s="30" t="s">
        <v>245</v>
      </c>
      <c r="BA299" s="30" t="s">
        <v>245</v>
      </c>
      <c r="BB299" s="30">
        <v>124</v>
      </c>
      <c r="BC299" s="30">
        <v>131</v>
      </c>
      <c r="BD299" s="30" t="s">
        <v>245</v>
      </c>
      <c r="BE299" s="30" t="s">
        <v>2568</v>
      </c>
      <c r="BF299" s="30" t="str">
        <f>HYPERLINK("http://dx.doi.org/10.1139/W11-116","http://dx.doi.org/10.1139/W11-116")</f>
        <v>http://dx.doi.org/10.1139/W11-116</v>
      </c>
      <c r="BG299" s="30" t="s">
        <v>245</v>
      </c>
      <c r="BH299" s="30" t="s">
        <v>245</v>
      </c>
      <c r="BI299" s="30" t="s">
        <v>245</v>
      </c>
      <c r="BJ299" s="30" t="s">
        <v>245</v>
      </c>
      <c r="BK299" s="30" t="s">
        <v>245</v>
      </c>
      <c r="BL299" s="30" t="s">
        <v>245</v>
      </c>
      <c r="BM299" s="30" t="s">
        <v>245</v>
      </c>
      <c r="BN299" s="30">
        <v>22260206</v>
      </c>
      <c r="BO299" s="30" t="s">
        <v>245</v>
      </c>
      <c r="BP299" s="30" t="s">
        <v>245</v>
      </c>
      <c r="BQ299" s="30" t="s">
        <v>245</v>
      </c>
      <c r="BR299" s="30" t="s">
        <v>245</v>
      </c>
      <c r="BS299" s="30" t="s">
        <v>2569</v>
      </c>
      <c r="BT299" s="30" t="str">
        <f>HYPERLINK("https%3A%2F%2Fwww.webofscience.com%2Fwos%2Fwoscc%2Ffull-record%2FWOS:000299791500002","View Full Record in Web of Science")</f>
        <v>View Full Record in Web of Science</v>
      </c>
    </row>
    <row r="300" spans="1:72" x14ac:dyDescent="0.2">
      <c r="A300" s="30" t="s">
        <v>243</v>
      </c>
      <c r="B300" s="30" t="s">
        <v>2570</v>
      </c>
      <c r="C300" s="30" t="s">
        <v>245</v>
      </c>
      <c r="D300" s="30" t="s">
        <v>245</v>
      </c>
      <c r="E300" s="30" t="s">
        <v>245</v>
      </c>
      <c r="F300" s="30" t="s">
        <v>2571</v>
      </c>
      <c r="G300" s="30" t="s">
        <v>245</v>
      </c>
      <c r="H300" s="30" t="s">
        <v>245</v>
      </c>
      <c r="I300" s="30" t="s">
        <v>2572</v>
      </c>
      <c r="J300" s="30" t="s">
        <v>1015</v>
      </c>
      <c r="K300" s="30" t="s">
        <v>245</v>
      </c>
      <c r="L300" s="30" t="s">
        <v>245</v>
      </c>
      <c r="M300" s="30" t="s">
        <v>245</v>
      </c>
      <c r="N300" s="30" t="s">
        <v>245</v>
      </c>
      <c r="O300" s="30" t="s">
        <v>245</v>
      </c>
      <c r="P300" s="30" t="s">
        <v>245</v>
      </c>
      <c r="Q300" s="30" t="s">
        <v>245</v>
      </c>
      <c r="R300" s="30" t="s">
        <v>245</v>
      </c>
      <c r="S300" s="30" t="s">
        <v>245</v>
      </c>
      <c r="T300" s="30" t="s">
        <v>245</v>
      </c>
      <c r="U300" s="30" t="s">
        <v>245</v>
      </c>
      <c r="V300" s="30" t="s">
        <v>245</v>
      </c>
      <c r="W300" s="30" t="s">
        <v>245</v>
      </c>
      <c r="X300" s="30" t="s">
        <v>245</v>
      </c>
      <c r="Y300" s="30" t="s">
        <v>245</v>
      </c>
      <c r="Z300" s="30" t="s">
        <v>245</v>
      </c>
      <c r="AA300" s="30" t="s">
        <v>2573</v>
      </c>
      <c r="AB300" s="30" t="s">
        <v>2574</v>
      </c>
      <c r="AC300" s="30" t="s">
        <v>245</v>
      </c>
      <c r="AD300" s="30" t="s">
        <v>245</v>
      </c>
      <c r="AE300" s="30" t="s">
        <v>245</v>
      </c>
      <c r="AF300" s="30" t="s">
        <v>245</v>
      </c>
      <c r="AG300" s="30" t="s">
        <v>245</v>
      </c>
      <c r="AH300" s="30" t="s">
        <v>245</v>
      </c>
      <c r="AI300" s="30" t="s">
        <v>245</v>
      </c>
      <c r="AJ300" s="30" t="s">
        <v>245</v>
      </c>
      <c r="AK300" s="30" t="s">
        <v>245</v>
      </c>
      <c r="AL300" s="30" t="s">
        <v>245</v>
      </c>
      <c r="AM300" s="30" t="s">
        <v>245</v>
      </c>
      <c r="AN300" s="30" t="s">
        <v>245</v>
      </c>
      <c r="AO300" s="30" t="s">
        <v>1018</v>
      </c>
      <c r="AP300" s="30" t="s">
        <v>1019</v>
      </c>
      <c r="AQ300" s="30" t="s">
        <v>245</v>
      </c>
      <c r="AR300" s="30" t="s">
        <v>245</v>
      </c>
      <c r="AS300" s="30" t="s">
        <v>245</v>
      </c>
      <c r="AT300" s="30" t="s">
        <v>535</v>
      </c>
      <c r="AU300" s="30">
        <v>2014</v>
      </c>
      <c r="AV300" s="30">
        <v>120</v>
      </c>
      <c r="AW300" s="30" t="s">
        <v>345</v>
      </c>
      <c r="AX300" s="30" t="s">
        <v>245</v>
      </c>
      <c r="AY300" s="30" t="s">
        <v>245</v>
      </c>
      <c r="AZ300" s="30" t="s">
        <v>245</v>
      </c>
      <c r="BA300" s="30" t="s">
        <v>245</v>
      </c>
      <c r="BB300" s="30">
        <v>163</v>
      </c>
      <c r="BC300" s="30">
        <v>189</v>
      </c>
      <c r="BD300" s="30" t="s">
        <v>245</v>
      </c>
      <c r="BE300" s="30" t="s">
        <v>2575</v>
      </c>
      <c r="BF300" s="30" t="str">
        <f>HYPERLINK("http://dx.doi.org/10.1007/s10533-014-9989-7","http://dx.doi.org/10.1007/s10533-014-9989-7")</f>
        <v>http://dx.doi.org/10.1007/s10533-014-9989-7</v>
      </c>
      <c r="BG300" s="30" t="s">
        <v>245</v>
      </c>
      <c r="BH300" s="30" t="s">
        <v>245</v>
      </c>
      <c r="BI300" s="30" t="s">
        <v>245</v>
      </c>
      <c r="BJ300" s="30" t="s">
        <v>245</v>
      </c>
      <c r="BK300" s="30" t="s">
        <v>245</v>
      </c>
      <c r="BL300" s="30" t="s">
        <v>245</v>
      </c>
      <c r="BM300" s="30" t="s">
        <v>245</v>
      </c>
      <c r="BN300" s="30" t="s">
        <v>245</v>
      </c>
      <c r="BO300" s="30" t="s">
        <v>245</v>
      </c>
      <c r="BP300" s="30" t="s">
        <v>245</v>
      </c>
      <c r="BQ300" s="30" t="s">
        <v>245</v>
      </c>
      <c r="BR300" s="30" t="s">
        <v>245</v>
      </c>
      <c r="BS300" s="30" t="s">
        <v>2576</v>
      </c>
      <c r="BT300" s="30" t="str">
        <f>HYPERLINK("https%3A%2F%2Fwww.webofscience.com%2Fwos%2Fwoscc%2Ffull-record%2FWOS:000339871700011","View Full Record in Web of Science")</f>
        <v>View Full Record in Web of Science</v>
      </c>
    </row>
    <row r="301" spans="1:72" x14ac:dyDescent="0.2">
      <c r="A301" s="30" t="s">
        <v>243</v>
      </c>
      <c r="B301" s="30" t="s">
        <v>2577</v>
      </c>
      <c r="C301" s="30" t="s">
        <v>245</v>
      </c>
      <c r="D301" s="30" t="s">
        <v>245</v>
      </c>
      <c r="E301" s="30" t="s">
        <v>245</v>
      </c>
      <c r="F301" s="30" t="s">
        <v>2577</v>
      </c>
      <c r="G301" s="30" t="s">
        <v>245</v>
      </c>
      <c r="H301" s="30" t="s">
        <v>245</v>
      </c>
      <c r="I301" s="30" t="s">
        <v>2578</v>
      </c>
      <c r="J301" s="30" t="s">
        <v>933</v>
      </c>
      <c r="K301" s="30" t="s">
        <v>245</v>
      </c>
      <c r="L301" s="30" t="s">
        <v>245</v>
      </c>
      <c r="M301" s="30" t="s">
        <v>245</v>
      </c>
      <c r="N301" s="30" t="s">
        <v>245</v>
      </c>
      <c r="O301" s="30" t="s">
        <v>245</v>
      </c>
      <c r="P301" s="30" t="s">
        <v>245</v>
      </c>
      <c r="Q301" s="30" t="s">
        <v>245</v>
      </c>
      <c r="R301" s="30" t="s">
        <v>245</v>
      </c>
      <c r="S301" s="30" t="s">
        <v>245</v>
      </c>
      <c r="T301" s="30" t="s">
        <v>245</v>
      </c>
      <c r="U301" s="30" t="s">
        <v>245</v>
      </c>
      <c r="V301" s="30" t="s">
        <v>245</v>
      </c>
      <c r="W301" s="30" t="s">
        <v>245</v>
      </c>
      <c r="X301" s="30" t="s">
        <v>245</v>
      </c>
      <c r="Y301" s="30" t="s">
        <v>245</v>
      </c>
      <c r="Z301" s="30" t="s">
        <v>245</v>
      </c>
      <c r="AA301" s="30" t="s">
        <v>245</v>
      </c>
      <c r="AB301" s="30" t="s">
        <v>245</v>
      </c>
      <c r="AC301" s="30" t="s">
        <v>245</v>
      </c>
      <c r="AD301" s="30" t="s">
        <v>245</v>
      </c>
      <c r="AE301" s="30" t="s">
        <v>245</v>
      </c>
      <c r="AF301" s="30" t="s">
        <v>245</v>
      </c>
      <c r="AG301" s="30" t="s">
        <v>245</v>
      </c>
      <c r="AH301" s="30" t="s">
        <v>245</v>
      </c>
      <c r="AI301" s="30" t="s">
        <v>245</v>
      </c>
      <c r="AJ301" s="30" t="s">
        <v>245</v>
      </c>
      <c r="AK301" s="30" t="s">
        <v>245</v>
      </c>
      <c r="AL301" s="30" t="s">
        <v>245</v>
      </c>
      <c r="AM301" s="30" t="s">
        <v>245</v>
      </c>
      <c r="AN301" s="30" t="s">
        <v>245</v>
      </c>
      <c r="AO301" s="30" t="s">
        <v>936</v>
      </c>
      <c r="AP301" s="30" t="s">
        <v>937</v>
      </c>
      <c r="AQ301" s="30" t="s">
        <v>245</v>
      </c>
      <c r="AR301" s="30" t="s">
        <v>245</v>
      </c>
      <c r="AS301" s="30" t="s">
        <v>245</v>
      </c>
      <c r="AT301" s="30" t="s">
        <v>265</v>
      </c>
      <c r="AU301" s="30">
        <v>2005</v>
      </c>
      <c r="AV301" s="30">
        <v>63</v>
      </c>
      <c r="AW301" s="30">
        <v>4</v>
      </c>
      <c r="AX301" s="30" t="s">
        <v>245</v>
      </c>
      <c r="AY301" s="30" t="s">
        <v>245</v>
      </c>
      <c r="AZ301" s="30" t="s">
        <v>245</v>
      </c>
      <c r="BA301" s="30" t="s">
        <v>245</v>
      </c>
      <c r="BB301" s="30">
        <v>605</v>
      </c>
      <c r="BC301" s="30">
        <v>618</v>
      </c>
      <c r="BD301" s="30" t="s">
        <v>245</v>
      </c>
      <c r="BE301" s="30" t="s">
        <v>2579</v>
      </c>
      <c r="BF301" s="30" t="str">
        <f>HYPERLINK("http://dx.doi.org/10.1016/j.ecss.2005.01.004","http://dx.doi.org/10.1016/j.ecss.2005.01.004")</f>
        <v>http://dx.doi.org/10.1016/j.ecss.2005.01.004</v>
      </c>
      <c r="BG301" s="30" t="s">
        <v>245</v>
      </c>
      <c r="BH301" s="30" t="s">
        <v>245</v>
      </c>
      <c r="BI301" s="30" t="s">
        <v>245</v>
      </c>
      <c r="BJ301" s="30" t="s">
        <v>245</v>
      </c>
      <c r="BK301" s="30" t="s">
        <v>245</v>
      </c>
      <c r="BL301" s="30" t="s">
        <v>245</v>
      </c>
      <c r="BM301" s="30" t="s">
        <v>245</v>
      </c>
      <c r="BN301" s="30" t="s">
        <v>245</v>
      </c>
      <c r="BO301" s="30" t="s">
        <v>245</v>
      </c>
      <c r="BP301" s="30" t="s">
        <v>245</v>
      </c>
      <c r="BQ301" s="30" t="s">
        <v>245</v>
      </c>
      <c r="BR301" s="30" t="s">
        <v>245</v>
      </c>
      <c r="BS301" s="30" t="s">
        <v>2580</v>
      </c>
      <c r="BT301" s="30" t="str">
        <f>HYPERLINK("https%3A%2F%2Fwww.webofscience.com%2Fwos%2Fwoscc%2Ffull-record%2FWOS:000229809900012","View Full Record in Web of Science")</f>
        <v>View Full Record in Web of Science</v>
      </c>
    </row>
    <row r="302" spans="1:72" x14ac:dyDescent="0.2">
      <c r="A302" s="30" t="s">
        <v>243</v>
      </c>
      <c r="B302" s="30" t="s">
        <v>2581</v>
      </c>
      <c r="C302" s="30" t="s">
        <v>245</v>
      </c>
      <c r="D302" s="30" t="s">
        <v>245</v>
      </c>
      <c r="E302" s="30" t="s">
        <v>245</v>
      </c>
      <c r="F302" s="30" t="s">
        <v>2582</v>
      </c>
      <c r="G302" s="30" t="s">
        <v>245</v>
      </c>
      <c r="H302" s="30" t="s">
        <v>245</v>
      </c>
      <c r="I302" s="30" t="s">
        <v>2583</v>
      </c>
      <c r="J302" s="30" t="s">
        <v>450</v>
      </c>
      <c r="K302" s="30" t="s">
        <v>245</v>
      </c>
      <c r="L302" s="30" t="s">
        <v>245</v>
      </c>
      <c r="M302" s="30" t="s">
        <v>245</v>
      </c>
      <c r="N302" s="30" t="s">
        <v>245</v>
      </c>
      <c r="O302" s="30" t="s">
        <v>245</v>
      </c>
      <c r="P302" s="30" t="s">
        <v>245</v>
      </c>
      <c r="Q302" s="30" t="s">
        <v>245</v>
      </c>
      <c r="R302" s="30" t="s">
        <v>245</v>
      </c>
      <c r="S302" s="30" t="s">
        <v>245</v>
      </c>
      <c r="T302" s="30" t="s">
        <v>245</v>
      </c>
      <c r="U302" s="30" t="s">
        <v>245</v>
      </c>
      <c r="V302" s="30" t="s">
        <v>245</v>
      </c>
      <c r="W302" s="30" t="s">
        <v>245</v>
      </c>
      <c r="X302" s="30" t="s">
        <v>245</v>
      </c>
      <c r="Y302" s="30" t="s">
        <v>245</v>
      </c>
      <c r="Z302" s="30" t="s">
        <v>245</v>
      </c>
      <c r="AA302" s="30" t="s">
        <v>2584</v>
      </c>
      <c r="AB302" s="30" t="s">
        <v>2585</v>
      </c>
      <c r="AC302" s="30" t="s">
        <v>245</v>
      </c>
      <c r="AD302" s="30" t="s">
        <v>245</v>
      </c>
      <c r="AE302" s="30" t="s">
        <v>245</v>
      </c>
      <c r="AF302" s="30" t="s">
        <v>245</v>
      </c>
      <c r="AG302" s="30" t="s">
        <v>245</v>
      </c>
      <c r="AH302" s="30" t="s">
        <v>245</v>
      </c>
      <c r="AI302" s="30" t="s">
        <v>245</v>
      </c>
      <c r="AJ302" s="30" t="s">
        <v>245</v>
      </c>
      <c r="AK302" s="30" t="s">
        <v>245</v>
      </c>
      <c r="AL302" s="30" t="s">
        <v>245</v>
      </c>
      <c r="AM302" s="30" t="s">
        <v>245</v>
      </c>
      <c r="AN302" s="30" t="s">
        <v>245</v>
      </c>
      <c r="AO302" s="30" t="s">
        <v>452</v>
      </c>
      <c r="AP302" s="30" t="s">
        <v>453</v>
      </c>
      <c r="AQ302" s="30" t="s">
        <v>245</v>
      </c>
      <c r="AR302" s="30" t="s">
        <v>245</v>
      </c>
      <c r="AS302" s="30" t="s">
        <v>245</v>
      </c>
      <c r="AT302" s="30" t="s">
        <v>297</v>
      </c>
      <c r="AU302" s="30">
        <v>2016</v>
      </c>
      <c r="AV302" s="30">
        <v>95</v>
      </c>
      <c r="AW302" s="30" t="s">
        <v>245</v>
      </c>
      <c r="AX302" s="30" t="s">
        <v>245</v>
      </c>
      <c r="AY302" s="30" t="s">
        <v>245</v>
      </c>
      <c r="AZ302" s="30" t="s">
        <v>245</v>
      </c>
      <c r="BA302" s="30" t="s">
        <v>245</v>
      </c>
      <c r="BB302" s="30">
        <v>770</v>
      </c>
      <c r="BC302" s="30">
        <v>778</v>
      </c>
      <c r="BD302" s="30" t="s">
        <v>245</v>
      </c>
      <c r="BE302" s="30" t="s">
        <v>2586</v>
      </c>
      <c r="BF302" s="30" t="str">
        <f>HYPERLINK("http://dx.doi.org/10.1016/j.ecoleng.2016.07.014","http://dx.doi.org/10.1016/j.ecoleng.2016.07.014")</f>
        <v>http://dx.doi.org/10.1016/j.ecoleng.2016.07.014</v>
      </c>
      <c r="BG302" s="30" t="s">
        <v>245</v>
      </c>
      <c r="BH302" s="30" t="s">
        <v>245</v>
      </c>
      <c r="BI302" s="30" t="s">
        <v>245</v>
      </c>
      <c r="BJ302" s="30" t="s">
        <v>245</v>
      </c>
      <c r="BK302" s="30" t="s">
        <v>245</v>
      </c>
      <c r="BL302" s="30" t="s">
        <v>245</v>
      </c>
      <c r="BM302" s="30" t="s">
        <v>245</v>
      </c>
      <c r="BN302" s="30" t="s">
        <v>245</v>
      </c>
      <c r="BO302" s="30" t="s">
        <v>245</v>
      </c>
      <c r="BP302" s="30" t="s">
        <v>245</v>
      </c>
      <c r="BQ302" s="30" t="s">
        <v>245</v>
      </c>
      <c r="BR302" s="30" t="s">
        <v>245</v>
      </c>
      <c r="BS302" s="30" t="s">
        <v>2587</v>
      </c>
      <c r="BT302" s="30" t="str">
        <f>HYPERLINK("https%3A%2F%2Fwww.webofscience.com%2Fwos%2Fwoscc%2Ffull-record%2FWOS:000385371400089","View Full Record in Web of Science")</f>
        <v>View Full Record in Web of Science</v>
      </c>
    </row>
    <row r="303" spans="1:72" x14ac:dyDescent="0.2">
      <c r="A303" s="30" t="s">
        <v>243</v>
      </c>
      <c r="B303" s="30" t="s">
        <v>2588</v>
      </c>
      <c r="C303" s="30" t="s">
        <v>245</v>
      </c>
      <c r="D303" s="30" t="s">
        <v>245</v>
      </c>
      <c r="E303" s="30" t="s">
        <v>245</v>
      </c>
      <c r="F303" s="30" t="s">
        <v>2589</v>
      </c>
      <c r="G303" s="30" t="s">
        <v>245</v>
      </c>
      <c r="H303" s="30" t="s">
        <v>245</v>
      </c>
      <c r="I303" s="30" t="s">
        <v>2590</v>
      </c>
      <c r="J303" s="30" t="s">
        <v>2591</v>
      </c>
      <c r="K303" s="30" t="s">
        <v>245</v>
      </c>
      <c r="L303" s="30" t="s">
        <v>245</v>
      </c>
      <c r="M303" s="30" t="s">
        <v>245</v>
      </c>
      <c r="N303" s="30" t="s">
        <v>245</v>
      </c>
      <c r="O303" s="30" t="s">
        <v>245</v>
      </c>
      <c r="P303" s="30" t="s">
        <v>245</v>
      </c>
      <c r="Q303" s="30" t="s">
        <v>245</v>
      </c>
      <c r="R303" s="30" t="s">
        <v>245</v>
      </c>
      <c r="S303" s="30" t="s">
        <v>245</v>
      </c>
      <c r="T303" s="30" t="s">
        <v>245</v>
      </c>
      <c r="U303" s="30" t="s">
        <v>245</v>
      </c>
      <c r="V303" s="30" t="s">
        <v>245</v>
      </c>
      <c r="W303" s="30" t="s">
        <v>245</v>
      </c>
      <c r="X303" s="30" t="s">
        <v>245</v>
      </c>
      <c r="Y303" s="30" t="s">
        <v>245</v>
      </c>
      <c r="Z303" s="30" t="s">
        <v>245</v>
      </c>
      <c r="AA303" s="30" t="s">
        <v>2592</v>
      </c>
      <c r="AB303" s="30" t="s">
        <v>245</v>
      </c>
      <c r="AC303" s="30" t="s">
        <v>245</v>
      </c>
      <c r="AD303" s="30" t="s">
        <v>245</v>
      </c>
      <c r="AE303" s="30" t="s">
        <v>245</v>
      </c>
      <c r="AF303" s="30" t="s">
        <v>245</v>
      </c>
      <c r="AG303" s="30" t="s">
        <v>245</v>
      </c>
      <c r="AH303" s="30" t="s">
        <v>245</v>
      </c>
      <c r="AI303" s="30" t="s">
        <v>245</v>
      </c>
      <c r="AJ303" s="30" t="s">
        <v>245</v>
      </c>
      <c r="AK303" s="30" t="s">
        <v>245</v>
      </c>
      <c r="AL303" s="30" t="s">
        <v>245</v>
      </c>
      <c r="AM303" s="30" t="s">
        <v>245</v>
      </c>
      <c r="AN303" s="30" t="s">
        <v>245</v>
      </c>
      <c r="AO303" s="30" t="s">
        <v>2593</v>
      </c>
      <c r="AP303" s="30" t="s">
        <v>2594</v>
      </c>
      <c r="AQ303" s="30" t="s">
        <v>245</v>
      </c>
      <c r="AR303" s="30" t="s">
        <v>245</v>
      </c>
      <c r="AS303" s="30" t="s">
        <v>245</v>
      </c>
      <c r="AT303" s="30" t="s">
        <v>535</v>
      </c>
      <c r="AU303" s="30">
        <v>2012</v>
      </c>
      <c r="AV303" s="30">
        <v>72</v>
      </c>
      <c r="AW303" s="30">
        <v>3</v>
      </c>
      <c r="AX303" s="30" t="s">
        <v>245</v>
      </c>
      <c r="AY303" s="30" t="s">
        <v>245</v>
      </c>
      <c r="AZ303" s="30" t="s">
        <v>245</v>
      </c>
      <c r="BA303" s="30" t="s">
        <v>245</v>
      </c>
      <c r="BB303" s="30">
        <v>429</v>
      </c>
      <c r="BC303" s="30">
        <v>436</v>
      </c>
      <c r="BD303" s="30" t="s">
        <v>245</v>
      </c>
      <c r="BE303" s="30" t="s">
        <v>2595</v>
      </c>
      <c r="BF303" s="30" t="str">
        <f>HYPERLINK("http://dx.doi.org/10.1590/S1519-69842012000300003","http://dx.doi.org/10.1590/S1519-69842012000300003")</f>
        <v>http://dx.doi.org/10.1590/S1519-69842012000300003</v>
      </c>
      <c r="BG303" s="30" t="s">
        <v>245</v>
      </c>
      <c r="BH303" s="30" t="s">
        <v>245</v>
      </c>
      <c r="BI303" s="30" t="s">
        <v>245</v>
      </c>
      <c r="BJ303" s="30" t="s">
        <v>245</v>
      </c>
      <c r="BK303" s="30" t="s">
        <v>245</v>
      </c>
      <c r="BL303" s="30" t="s">
        <v>245</v>
      </c>
      <c r="BM303" s="30" t="s">
        <v>245</v>
      </c>
      <c r="BN303" s="30">
        <v>22990811</v>
      </c>
      <c r="BO303" s="30" t="s">
        <v>245</v>
      </c>
      <c r="BP303" s="30" t="s">
        <v>245</v>
      </c>
      <c r="BQ303" s="30" t="s">
        <v>245</v>
      </c>
      <c r="BR303" s="30" t="s">
        <v>245</v>
      </c>
      <c r="BS303" s="30" t="s">
        <v>2596</v>
      </c>
      <c r="BT303" s="30" t="str">
        <f>HYPERLINK("https%3A%2F%2Fwww.webofscience.com%2Fwos%2Fwoscc%2Ffull-record%2FWOS:000308954700003","View Full Record in Web of Science")</f>
        <v>View Full Record in Web of Science</v>
      </c>
    </row>
    <row r="304" spans="1:72" x14ac:dyDescent="0.2">
      <c r="A304" s="30" t="s">
        <v>243</v>
      </c>
      <c r="B304" s="30" t="s">
        <v>2597</v>
      </c>
      <c r="C304" s="30" t="s">
        <v>245</v>
      </c>
      <c r="D304" s="30" t="s">
        <v>245</v>
      </c>
      <c r="E304" s="30" t="s">
        <v>245</v>
      </c>
      <c r="F304" s="30" t="s">
        <v>2598</v>
      </c>
      <c r="G304" s="30" t="s">
        <v>245</v>
      </c>
      <c r="H304" s="30" t="s">
        <v>245</v>
      </c>
      <c r="I304" s="30" t="s">
        <v>2599</v>
      </c>
      <c r="J304" s="30" t="s">
        <v>282</v>
      </c>
      <c r="K304" s="30" t="s">
        <v>245</v>
      </c>
      <c r="L304" s="30" t="s">
        <v>245</v>
      </c>
      <c r="M304" s="30" t="s">
        <v>245</v>
      </c>
      <c r="N304" s="30" t="s">
        <v>245</v>
      </c>
      <c r="O304" s="30" t="s">
        <v>245</v>
      </c>
      <c r="P304" s="30" t="s">
        <v>245</v>
      </c>
      <c r="Q304" s="30" t="s">
        <v>245</v>
      </c>
      <c r="R304" s="30" t="s">
        <v>245</v>
      </c>
      <c r="S304" s="30" t="s">
        <v>245</v>
      </c>
      <c r="T304" s="30" t="s">
        <v>245</v>
      </c>
      <c r="U304" s="30" t="s">
        <v>245</v>
      </c>
      <c r="V304" s="30" t="s">
        <v>245</v>
      </c>
      <c r="W304" s="30" t="s">
        <v>245</v>
      </c>
      <c r="X304" s="30" t="s">
        <v>245</v>
      </c>
      <c r="Y304" s="30" t="s">
        <v>245</v>
      </c>
      <c r="Z304" s="30" t="s">
        <v>245</v>
      </c>
      <c r="AA304" s="30" t="s">
        <v>2600</v>
      </c>
      <c r="AB304" s="30" t="s">
        <v>245</v>
      </c>
      <c r="AC304" s="30" t="s">
        <v>245</v>
      </c>
      <c r="AD304" s="30" t="s">
        <v>245</v>
      </c>
      <c r="AE304" s="30" t="s">
        <v>245</v>
      </c>
      <c r="AF304" s="30" t="s">
        <v>245</v>
      </c>
      <c r="AG304" s="30" t="s">
        <v>245</v>
      </c>
      <c r="AH304" s="30" t="s">
        <v>245</v>
      </c>
      <c r="AI304" s="30" t="s">
        <v>245</v>
      </c>
      <c r="AJ304" s="30" t="s">
        <v>245</v>
      </c>
      <c r="AK304" s="30" t="s">
        <v>245</v>
      </c>
      <c r="AL304" s="30" t="s">
        <v>245</v>
      </c>
      <c r="AM304" s="30" t="s">
        <v>245</v>
      </c>
      <c r="AN304" s="30" t="s">
        <v>245</v>
      </c>
      <c r="AO304" s="30" t="s">
        <v>285</v>
      </c>
      <c r="AP304" s="30" t="s">
        <v>245</v>
      </c>
      <c r="AQ304" s="30" t="s">
        <v>245</v>
      </c>
      <c r="AR304" s="30" t="s">
        <v>245</v>
      </c>
      <c r="AS304" s="30" t="s">
        <v>245</v>
      </c>
      <c r="AT304" s="30" t="s">
        <v>354</v>
      </c>
      <c r="AU304" s="30">
        <v>2009</v>
      </c>
      <c r="AV304" s="30">
        <v>41</v>
      </c>
      <c r="AW304" s="30">
        <v>4</v>
      </c>
      <c r="AX304" s="30" t="s">
        <v>245</v>
      </c>
      <c r="AY304" s="30" t="s">
        <v>245</v>
      </c>
      <c r="AZ304" s="30" t="s">
        <v>245</v>
      </c>
      <c r="BA304" s="30" t="s">
        <v>245</v>
      </c>
      <c r="BB304" s="30">
        <v>735</v>
      </c>
      <c r="BC304" s="30">
        <v>741</v>
      </c>
      <c r="BD304" s="30" t="s">
        <v>245</v>
      </c>
      <c r="BE304" s="30" t="s">
        <v>2601</v>
      </c>
      <c r="BF304" s="30" t="str">
        <f>HYPERLINK("http://dx.doi.org/10.1016/j.soilbio.2009.01.015","http://dx.doi.org/10.1016/j.soilbio.2009.01.015")</f>
        <v>http://dx.doi.org/10.1016/j.soilbio.2009.01.015</v>
      </c>
      <c r="BG304" s="30" t="s">
        <v>245</v>
      </c>
      <c r="BH304" s="30" t="s">
        <v>245</v>
      </c>
      <c r="BI304" s="30" t="s">
        <v>245</v>
      </c>
      <c r="BJ304" s="30" t="s">
        <v>245</v>
      </c>
      <c r="BK304" s="30" t="s">
        <v>245</v>
      </c>
      <c r="BL304" s="30" t="s">
        <v>245</v>
      </c>
      <c r="BM304" s="30" t="s">
        <v>245</v>
      </c>
      <c r="BN304" s="30" t="s">
        <v>245</v>
      </c>
      <c r="BO304" s="30" t="s">
        <v>245</v>
      </c>
      <c r="BP304" s="30" t="s">
        <v>245</v>
      </c>
      <c r="BQ304" s="30" t="s">
        <v>245</v>
      </c>
      <c r="BR304" s="30" t="s">
        <v>245</v>
      </c>
      <c r="BS304" s="30" t="s">
        <v>2602</v>
      </c>
      <c r="BT304" s="30" t="str">
        <f>HYPERLINK("https%3A%2F%2Fwww.webofscience.com%2Fwos%2Fwoscc%2Ffull-record%2FWOS:000265325300010","View Full Record in Web of Science")</f>
        <v>View Full Record in Web of Science</v>
      </c>
    </row>
    <row r="305" spans="1:72" x14ac:dyDescent="0.2">
      <c r="A305" s="30" t="s">
        <v>243</v>
      </c>
      <c r="B305" s="30" t="s">
        <v>2603</v>
      </c>
      <c r="C305" s="30" t="s">
        <v>245</v>
      </c>
      <c r="D305" s="30" t="s">
        <v>245</v>
      </c>
      <c r="E305" s="30" t="s">
        <v>245</v>
      </c>
      <c r="F305" s="30" t="s">
        <v>2604</v>
      </c>
      <c r="G305" s="30" t="s">
        <v>245</v>
      </c>
      <c r="H305" s="30" t="s">
        <v>245</v>
      </c>
      <c r="I305" s="30" t="s">
        <v>2605</v>
      </c>
      <c r="J305" s="30" t="s">
        <v>2606</v>
      </c>
      <c r="K305" s="30" t="s">
        <v>245</v>
      </c>
      <c r="L305" s="30" t="s">
        <v>245</v>
      </c>
      <c r="M305" s="30" t="s">
        <v>245</v>
      </c>
      <c r="N305" s="30" t="s">
        <v>245</v>
      </c>
      <c r="O305" s="30" t="s">
        <v>245</v>
      </c>
      <c r="P305" s="30" t="s">
        <v>245</v>
      </c>
      <c r="Q305" s="30" t="s">
        <v>245</v>
      </c>
      <c r="R305" s="30" t="s">
        <v>245</v>
      </c>
      <c r="S305" s="30" t="s">
        <v>245</v>
      </c>
      <c r="T305" s="30" t="s">
        <v>245</v>
      </c>
      <c r="U305" s="30" t="s">
        <v>245</v>
      </c>
      <c r="V305" s="30" t="s">
        <v>245</v>
      </c>
      <c r="W305" s="30" t="s">
        <v>245</v>
      </c>
      <c r="X305" s="30" t="s">
        <v>245</v>
      </c>
      <c r="Y305" s="30" t="s">
        <v>245</v>
      </c>
      <c r="Z305" s="30" t="s">
        <v>245</v>
      </c>
      <c r="AA305" s="30" t="s">
        <v>1491</v>
      </c>
      <c r="AB305" s="30" t="s">
        <v>245</v>
      </c>
      <c r="AC305" s="30" t="s">
        <v>245</v>
      </c>
      <c r="AD305" s="30" t="s">
        <v>245</v>
      </c>
      <c r="AE305" s="30" t="s">
        <v>245</v>
      </c>
      <c r="AF305" s="30" t="s">
        <v>245</v>
      </c>
      <c r="AG305" s="30" t="s">
        <v>245</v>
      </c>
      <c r="AH305" s="30" t="s">
        <v>245</v>
      </c>
      <c r="AI305" s="30" t="s">
        <v>245</v>
      </c>
      <c r="AJ305" s="30" t="s">
        <v>245</v>
      </c>
      <c r="AK305" s="30" t="s">
        <v>245</v>
      </c>
      <c r="AL305" s="30" t="s">
        <v>245</v>
      </c>
      <c r="AM305" s="30" t="s">
        <v>245</v>
      </c>
      <c r="AN305" s="30" t="s">
        <v>245</v>
      </c>
      <c r="AO305" s="30" t="s">
        <v>2607</v>
      </c>
      <c r="AP305" s="30" t="s">
        <v>2608</v>
      </c>
      <c r="AQ305" s="30" t="s">
        <v>245</v>
      </c>
      <c r="AR305" s="30" t="s">
        <v>245</v>
      </c>
      <c r="AS305" s="30" t="s">
        <v>245</v>
      </c>
      <c r="AT305" s="30" t="s">
        <v>245</v>
      </c>
      <c r="AU305" s="30">
        <v>2020</v>
      </c>
      <c r="AV305" s="30">
        <v>8</v>
      </c>
      <c r="AW305" s="30">
        <v>10</v>
      </c>
      <c r="AX305" s="30" t="s">
        <v>245</v>
      </c>
      <c r="AY305" s="30" t="s">
        <v>245</v>
      </c>
      <c r="AZ305" s="30" t="s">
        <v>245</v>
      </c>
      <c r="BA305" s="30" t="s">
        <v>245</v>
      </c>
      <c r="BB305" s="30">
        <v>1199</v>
      </c>
      <c r="BC305" s="30">
        <v>1214</v>
      </c>
      <c r="BD305" s="30" t="s">
        <v>245</v>
      </c>
      <c r="BE305" s="30" t="s">
        <v>2609</v>
      </c>
      <c r="BF305" s="30" t="str">
        <f>HYPERLINK("http://dx.doi.org/10.32604/jrm.2020.010826","http://dx.doi.org/10.32604/jrm.2020.010826")</f>
        <v>http://dx.doi.org/10.32604/jrm.2020.010826</v>
      </c>
      <c r="BG305" s="30" t="s">
        <v>245</v>
      </c>
      <c r="BH305" s="30" t="s">
        <v>245</v>
      </c>
      <c r="BI305" s="30" t="s">
        <v>245</v>
      </c>
      <c r="BJ305" s="30" t="s">
        <v>245</v>
      </c>
      <c r="BK305" s="30" t="s">
        <v>245</v>
      </c>
      <c r="BL305" s="30" t="s">
        <v>245</v>
      </c>
      <c r="BM305" s="30" t="s">
        <v>245</v>
      </c>
      <c r="BN305" s="30" t="s">
        <v>245</v>
      </c>
      <c r="BO305" s="30" t="s">
        <v>245</v>
      </c>
      <c r="BP305" s="30" t="s">
        <v>245</v>
      </c>
      <c r="BQ305" s="30" t="s">
        <v>245</v>
      </c>
      <c r="BR305" s="30" t="s">
        <v>245</v>
      </c>
      <c r="BS305" s="30" t="s">
        <v>2610</v>
      </c>
      <c r="BT305" s="30" t="str">
        <f>HYPERLINK("https%3A%2F%2Fwww.webofscience.com%2Fwos%2Fwoscc%2Ffull-record%2FWOS:000564519200002","View Full Record in Web of Science")</f>
        <v>View Full Record in Web of Science</v>
      </c>
    </row>
    <row r="306" spans="1:72" x14ac:dyDescent="0.2">
      <c r="A306" s="30" t="s">
        <v>243</v>
      </c>
      <c r="B306" s="30" t="s">
        <v>2611</v>
      </c>
      <c r="C306" s="30" t="s">
        <v>245</v>
      </c>
      <c r="D306" s="30" t="s">
        <v>245</v>
      </c>
      <c r="E306" s="30" t="s">
        <v>245</v>
      </c>
      <c r="F306" s="30" t="s">
        <v>2612</v>
      </c>
      <c r="G306" s="30" t="s">
        <v>245</v>
      </c>
      <c r="H306" s="30" t="s">
        <v>245</v>
      </c>
      <c r="I306" s="30" t="s">
        <v>2613</v>
      </c>
      <c r="J306" s="30" t="s">
        <v>1516</v>
      </c>
      <c r="K306" s="30" t="s">
        <v>245</v>
      </c>
      <c r="L306" s="30" t="s">
        <v>245</v>
      </c>
      <c r="M306" s="30" t="s">
        <v>245</v>
      </c>
      <c r="N306" s="30" t="s">
        <v>245</v>
      </c>
      <c r="O306" s="30" t="s">
        <v>245</v>
      </c>
      <c r="P306" s="30" t="s">
        <v>245</v>
      </c>
      <c r="Q306" s="30" t="s">
        <v>245</v>
      </c>
      <c r="R306" s="30" t="s">
        <v>245</v>
      </c>
      <c r="S306" s="30" t="s">
        <v>245</v>
      </c>
      <c r="T306" s="30" t="s">
        <v>245</v>
      </c>
      <c r="U306" s="30" t="s">
        <v>245</v>
      </c>
      <c r="V306" s="30" t="s">
        <v>245</v>
      </c>
      <c r="W306" s="30" t="s">
        <v>245</v>
      </c>
      <c r="X306" s="30" t="s">
        <v>245</v>
      </c>
      <c r="Y306" s="30" t="s">
        <v>245</v>
      </c>
      <c r="Z306" s="30" t="s">
        <v>245</v>
      </c>
      <c r="AA306" s="30" t="s">
        <v>2614</v>
      </c>
      <c r="AB306" s="30" t="s">
        <v>2615</v>
      </c>
      <c r="AC306" s="30" t="s">
        <v>245</v>
      </c>
      <c r="AD306" s="30" t="s">
        <v>245</v>
      </c>
      <c r="AE306" s="30" t="s">
        <v>245</v>
      </c>
      <c r="AF306" s="30" t="s">
        <v>245</v>
      </c>
      <c r="AG306" s="30" t="s">
        <v>245</v>
      </c>
      <c r="AH306" s="30" t="s">
        <v>245</v>
      </c>
      <c r="AI306" s="30" t="s">
        <v>245</v>
      </c>
      <c r="AJ306" s="30" t="s">
        <v>245</v>
      </c>
      <c r="AK306" s="30" t="s">
        <v>245</v>
      </c>
      <c r="AL306" s="30" t="s">
        <v>245</v>
      </c>
      <c r="AM306" s="30" t="s">
        <v>245</v>
      </c>
      <c r="AN306" s="30" t="s">
        <v>245</v>
      </c>
      <c r="AO306" s="30" t="s">
        <v>1519</v>
      </c>
      <c r="AP306" s="30" t="s">
        <v>1520</v>
      </c>
      <c r="AQ306" s="30" t="s">
        <v>245</v>
      </c>
      <c r="AR306" s="30" t="s">
        <v>245</v>
      </c>
      <c r="AS306" s="30" t="s">
        <v>245</v>
      </c>
      <c r="AT306" s="30" t="s">
        <v>245</v>
      </c>
      <c r="AU306" s="30">
        <v>2015</v>
      </c>
      <c r="AV306" s="30">
        <v>12</v>
      </c>
      <c r="AW306" s="30">
        <v>16</v>
      </c>
      <c r="AX306" s="30" t="s">
        <v>245</v>
      </c>
      <c r="AY306" s="30" t="s">
        <v>245</v>
      </c>
      <c r="AZ306" s="30" t="s">
        <v>245</v>
      </c>
      <c r="BA306" s="30" t="s">
        <v>245</v>
      </c>
      <c r="BB306" s="30">
        <v>4965</v>
      </c>
      <c r="BC306" s="30">
        <v>4977</v>
      </c>
      <c r="BD306" s="30" t="s">
        <v>245</v>
      </c>
      <c r="BE306" s="30" t="s">
        <v>2616</v>
      </c>
      <c r="BF306" s="30" t="str">
        <f>HYPERLINK("http://dx.doi.org/10.5194/bg-12-4965-2015","http://dx.doi.org/10.5194/bg-12-4965-2015")</f>
        <v>http://dx.doi.org/10.5194/bg-12-4965-2015</v>
      </c>
      <c r="BG306" s="30" t="s">
        <v>245</v>
      </c>
      <c r="BH306" s="30" t="s">
        <v>245</v>
      </c>
      <c r="BI306" s="30" t="s">
        <v>245</v>
      </c>
      <c r="BJ306" s="30" t="s">
        <v>245</v>
      </c>
      <c r="BK306" s="30" t="s">
        <v>245</v>
      </c>
      <c r="BL306" s="30" t="s">
        <v>245</v>
      </c>
      <c r="BM306" s="30" t="s">
        <v>245</v>
      </c>
      <c r="BN306" s="30" t="s">
        <v>245</v>
      </c>
      <c r="BO306" s="30" t="s">
        <v>245</v>
      </c>
      <c r="BP306" s="30" t="s">
        <v>245</v>
      </c>
      <c r="BQ306" s="30" t="s">
        <v>245</v>
      </c>
      <c r="BR306" s="30" t="s">
        <v>245</v>
      </c>
      <c r="BS306" s="30" t="s">
        <v>2617</v>
      </c>
      <c r="BT306" s="30" t="str">
        <f>HYPERLINK("https%3A%2F%2Fwww.webofscience.com%2Fwos%2Fwoscc%2Ffull-record%2FWOS:000360294800007","View Full Record in Web of Science")</f>
        <v>View Full Record in Web of Science</v>
      </c>
    </row>
    <row r="307" spans="1:72" x14ac:dyDescent="0.2">
      <c r="A307" s="30" t="s">
        <v>243</v>
      </c>
      <c r="B307" s="30" t="s">
        <v>2618</v>
      </c>
      <c r="C307" s="30" t="s">
        <v>245</v>
      </c>
      <c r="D307" s="30" t="s">
        <v>245</v>
      </c>
      <c r="E307" s="30" t="s">
        <v>245</v>
      </c>
      <c r="F307" s="30" t="s">
        <v>2619</v>
      </c>
      <c r="G307" s="30" t="s">
        <v>245</v>
      </c>
      <c r="H307" s="30" t="s">
        <v>245</v>
      </c>
      <c r="I307" s="30" t="s">
        <v>2620</v>
      </c>
      <c r="J307" s="30" t="s">
        <v>2621</v>
      </c>
      <c r="K307" s="30" t="s">
        <v>245</v>
      </c>
      <c r="L307" s="30" t="s">
        <v>245</v>
      </c>
      <c r="M307" s="30" t="s">
        <v>245</v>
      </c>
      <c r="N307" s="30" t="s">
        <v>245</v>
      </c>
      <c r="O307" s="30" t="s">
        <v>245</v>
      </c>
      <c r="P307" s="30" t="s">
        <v>245</v>
      </c>
      <c r="Q307" s="30" t="s">
        <v>245</v>
      </c>
      <c r="R307" s="30" t="s">
        <v>245</v>
      </c>
      <c r="S307" s="30" t="s">
        <v>245</v>
      </c>
      <c r="T307" s="30" t="s">
        <v>245</v>
      </c>
      <c r="U307" s="30" t="s">
        <v>245</v>
      </c>
      <c r="V307" s="30" t="s">
        <v>245</v>
      </c>
      <c r="W307" s="30" t="s">
        <v>245</v>
      </c>
      <c r="X307" s="30" t="s">
        <v>245</v>
      </c>
      <c r="Y307" s="30" t="s">
        <v>245</v>
      </c>
      <c r="Z307" s="30" t="s">
        <v>245</v>
      </c>
      <c r="AA307" s="30" t="s">
        <v>2622</v>
      </c>
      <c r="AB307" s="30" t="s">
        <v>2623</v>
      </c>
      <c r="AC307" s="30" t="s">
        <v>245</v>
      </c>
      <c r="AD307" s="30" t="s">
        <v>245</v>
      </c>
      <c r="AE307" s="30" t="s">
        <v>245</v>
      </c>
      <c r="AF307" s="30" t="s">
        <v>245</v>
      </c>
      <c r="AG307" s="30" t="s">
        <v>245</v>
      </c>
      <c r="AH307" s="30" t="s">
        <v>245</v>
      </c>
      <c r="AI307" s="30" t="s">
        <v>245</v>
      </c>
      <c r="AJ307" s="30" t="s">
        <v>245</v>
      </c>
      <c r="AK307" s="30" t="s">
        <v>245</v>
      </c>
      <c r="AL307" s="30" t="s">
        <v>245</v>
      </c>
      <c r="AM307" s="30" t="s">
        <v>245</v>
      </c>
      <c r="AN307" s="30" t="s">
        <v>245</v>
      </c>
      <c r="AO307" s="30" t="s">
        <v>2624</v>
      </c>
      <c r="AP307" s="30" t="s">
        <v>2625</v>
      </c>
      <c r="AQ307" s="30" t="s">
        <v>245</v>
      </c>
      <c r="AR307" s="30" t="s">
        <v>245</v>
      </c>
      <c r="AS307" s="30" t="s">
        <v>245</v>
      </c>
      <c r="AT307" s="30" t="s">
        <v>535</v>
      </c>
      <c r="AU307" s="30">
        <v>2014</v>
      </c>
      <c r="AV307" s="30">
        <v>119</v>
      </c>
      <c r="AW307" s="30">
        <v>8</v>
      </c>
      <c r="AX307" s="30" t="s">
        <v>245</v>
      </c>
      <c r="AY307" s="30" t="s">
        <v>245</v>
      </c>
      <c r="AZ307" s="30" t="s">
        <v>245</v>
      </c>
      <c r="BA307" s="30" t="s">
        <v>245</v>
      </c>
      <c r="BB307" s="30">
        <v>1698</v>
      </c>
      <c r="BC307" s="30">
        <v>1716</v>
      </c>
      <c r="BD307" s="30" t="s">
        <v>245</v>
      </c>
      <c r="BE307" s="30" t="s">
        <v>2626</v>
      </c>
      <c r="BF307" s="30" t="str">
        <f>HYPERLINK("http://dx.doi.org/10.1002/2013JG002544","http://dx.doi.org/10.1002/2013JG002544")</f>
        <v>http://dx.doi.org/10.1002/2013JG002544</v>
      </c>
      <c r="BG307" s="30" t="s">
        <v>245</v>
      </c>
      <c r="BH307" s="30" t="s">
        <v>245</v>
      </c>
      <c r="BI307" s="30" t="s">
        <v>245</v>
      </c>
      <c r="BJ307" s="30" t="s">
        <v>245</v>
      </c>
      <c r="BK307" s="30" t="s">
        <v>245</v>
      </c>
      <c r="BL307" s="30" t="s">
        <v>245</v>
      </c>
      <c r="BM307" s="30" t="s">
        <v>245</v>
      </c>
      <c r="BN307" s="30" t="s">
        <v>245</v>
      </c>
      <c r="BO307" s="30" t="s">
        <v>245</v>
      </c>
      <c r="BP307" s="30" t="s">
        <v>245</v>
      </c>
      <c r="BQ307" s="30" t="s">
        <v>245</v>
      </c>
      <c r="BR307" s="30" t="s">
        <v>245</v>
      </c>
      <c r="BS307" s="30" t="s">
        <v>2627</v>
      </c>
      <c r="BT307" s="30" t="str">
        <f>HYPERLINK("https%3A%2F%2Fwww.webofscience.com%2Fwos%2Fwoscc%2Ffull-record%2FWOS:000342993200014","View Full Record in Web of Science")</f>
        <v>View Full Record in Web of Science</v>
      </c>
    </row>
    <row r="308" spans="1:72" x14ac:dyDescent="0.2">
      <c r="A308" s="30" t="s">
        <v>243</v>
      </c>
      <c r="B308" s="30" t="s">
        <v>2628</v>
      </c>
      <c r="C308" s="30" t="s">
        <v>245</v>
      </c>
      <c r="D308" s="30" t="s">
        <v>245</v>
      </c>
      <c r="E308" s="30" t="s">
        <v>245</v>
      </c>
      <c r="F308" s="30" t="s">
        <v>2629</v>
      </c>
      <c r="G308" s="30" t="s">
        <v>245</v>
      </c>
      <c r="H308" s="30" t="s">
        <v>245</v>
      </c>
      <c r="I308" s="30" t="s">
        <v>2630</v>
      </c>
      <c r="J308" s="30" t="s">
        <v>1516</v>
      </c>
      <c r="K308" s="30" t="s">
        <v>245</v>
      </c>
      <c r="L308" s="30" t="s">
        <v>245</v>
      </c>
      <c r="M308" s="30" t="s">
        <v>245</v>
      </c>
      <c r="N308" s="30" t="s">
        <v>245</v>
      </c>
      <c r="O308" s="30" t="s">
        <v>245</v>
      </c>
      <c r="P308" s="30" t="s">
        <v>245</v>
      </c>
      <c r="Q308" s="30" t="s">
        <v>245</v>
      </c>
      <c r="R308" s="30" t="s">
        <v>245</v>
      </c>
      <c r="S308" s="30" t="s">
        <v>245</v>
      </c>
      <c r="T308" s="30" t="s">
        <v>245</v>
      </c>
      <c r="U308" s="30" t="s">
        <v>245</v>
      </c>
      <c r="V308" s="30" t="s">
        <v>245</v>
      </c>
      <c r="W308" s="30" t="s">
        <v>245</v>
      </c>
      <c r="X308" s="30" t="s">
        <v>245</v>
      </c>
      <c r="Y308" s="30" t="s">
        <v>245</v>
      </c>
      <c r="Z308" s="30" t="s">
        <v>245</v>
      </c>
      <c r="AA308" s="30" t="s">
        <v>2631</v>
      </c>
      <c r="AB308" s="30" t="s">
        <v>2632</v>
      </c>
      <c r="AC308" s="30" t="s">
        <v>245</v>
      </c>
      <c r="AD308" s="30" t="s">
        <v>245</v>
      </c>
      <c r="AE308" s="30" t="s">
        <v>245</v>
      </c>
      <c r="AF308" s="30" t="s">
        <v>245</v>
      </c>
      <c r="AG308" s="30" t="s">
        <v>245</v>
      </c>
      <c r="AH308" s="30" t="s">
        <v>245</v>
      </c>
      <c r="AI308" s="30" t="s">
        <v>245</v>
      </c>
      <c r="AJ308" s="30" t="s">
        <v>245</v>
      </c>
      <c r="AK308" s="30" t="s">
        <v>245</v>
      </c>
      <c r="AL308" s="30" t="s">
        <v>245</v>
      </c>
      <c r="AM308" s="30" t="s">
        <v>245</v>
      </c>
      <c r="AN308" s="30" t="s">
        <v>245</v>
      </c>
      <c r="AO308" s="30" t="s">
        <v>1519</v>
      </c>
      <c r="AP308" s="30" t="s">
        <v>1520</v>
      </c>
      <c r="AQ308" s="30" t="s">
        <v>245</v>
      </c>
      <c r="AR308" s="30" t="s">
        <v>245</v>
      </c>
      <c r="AS308" s="30" t="s">
        <v>245</v>
      </c>
      <c r="AT308" s="30" t="s">
        <v>2633</v>
      </c>
      <c r="AU308" s="30">
        <v>2023</v>
      </c>
      <c r="AV308" s="30">
        <v>20</v>
      </c>
      <c r="AW308" s="30">
        <v>2</v>
      </c>
      <c r="AX308" s="30" t="s">
        <v>245</v>
      </c>
      <c r="AY308" s="30" t="s">
        <v>245</v>
      </c>
      <c r="AZ308" s="30" t="s">
        <v>245</v>
      </c>
      <c r="BA308" s="30" t="s">
        <v>245</v>
      </c>
      <c r="BB308" s="30">
        <v>295</v>
      </c>
      <c r="BC308" s="30">
        <v>323</v>
      </c>
      <c r="BD308" s="30" t="s">
        <v>245</v>
      </c>
      <c r="BE308" s="30" t="s">
        <v>2634</v>
      </c>
      <c r="BF308" s="30" t="str">
        <f>HYPERLINK("http://dx.doi.org/10.5194/bg-20-295-2023","http://dx.doi.org/10.5194/bg-20-295-2023")</f>
        <v>http://dx.doi.org/10.5194/bg-20-295-2023</v>
      </c>
      <c r="BG308" s="30" t="s">
        <v>245</v>
      </c>
      <c r="BH308" s="30" t="s">
        <v>245</v>
      </c>
      <c r="BI308" s="30" t="s">
        <v>245</v>
      </c>
      <c r="BJ308" s="30" t="s">
        <v>245</v>
      </c>
      <c r="BK308" s="30" t="s">
        <v>245</v>
      </c>
      <c r="BL308" s="30" t="s">
        <v>245</v>
      </c>
      <c r="BM308" s="30" t="s">
        <v>245</v>
      </c>
      <c r="BN308" s="30" t="s">
        <v>245</v>
      </c>
      <c r="BO308" s="30" t="s">
        <v>245</v>
      </c>
      <c r="BP308" s="30" t="s">
        <v>245</v>
      </c>
      <c r="BQ308" s="30" t="s">
        <v>245</v>
      </c>
      <c r="BR308" s="30" t="s">
        <v>245</v>
      </c>
      <c r="BS308" s="30" t="s">
        <v>2635</v>
      </c>
      <c r="BT308" s="30" t="str">
        <f>HYPERLINK("https%3A%2F%2Fwww.webofscience.com%2Fwos%2Fwoscc%2Ffull-record%2FWOS:000922050400001","View Full Record in Web of Science")</f>
        <v>View Full Record in Web of Science</v>
      </c>
    </row>
    <row r="309" spans="1:72" x14ac:dyDescent="0.2">
      <c r="A309" s="30" t="s">
        <v>243</v>
      </c>
      <c r="B309" s="30" t="s">
        <v>2636</v>
      </c>
      <c r="C309" s="30" t="s">
        <v>245</v>
      </c>
      <c r="D309" s="30" t="s">
        <v>245</v>
      </c>
      <c r="E309" s="30" t="s">
        <v>245</v>
      </c>
      <c r="F309" s="30" t="s">
        <v>2637</v>
      </c>
      <c r="G309" s="30" t="s">
        <v>245</v>
      </c>
      <c r="H309" s="30" t="s">
        <v>245</v>
      </c>
      <c r="I309" s="30" t="s">
        <v>2638</v>
      </c>
      <c r="J309" s="30" t="s">
        <v>501</v>
      </c>
      <c r="K309" s="30" t="s">
        <v>245</v>
      </c>
      <c r="L309" s="30" t="s">
        <v>245</v>
      </c>
      <c r="M309" s="30" t="s">
        <v>245</v>
      </c>
      <c r="N309" s="30" t="s">
        <v>245</v>
      </c>
      <c r="O309" s="30" t="s">
        <v>245</v>
      </c>
      <c r="P309" s="30" t="s">
        <v>245</v>
      </c>
      <c r="Q309" s="30" t="s">
        <v>245</v>
      </c>
      <c r="R309" s="30" t="s">
        <v>245</v>
      </c>
      <c r="S309" s="30" t="s">
        <v>245</v>
      </c>
      <c r="T309" s="30" t="s">
        <v>245</v>
      </c>
      <c r="U309" s="30" t="s">
        <v>245</v>
      </c>
      <c r="V309" s="30" t="s">
        <v>245</v>
      </c>
      <c r="W309" s="30" t="s">
        <v>245</v>
      </c>
      <c r="X309" s="30" t="s">
        <v>245</v>
      </c>
      <c r="Y309" s="30" t="s">
        <v>245</v>
      </c>
      <c r="Z309" s="30" t="s">
        <v>245</v>
      </c>
      <c r="AA309" s="30" t="s">
        <v>2639</v>
      </c>
      <c r="AB309" s="30" t="s">
        <v>2640</v>
      </c>
      <c r="AC309" s="30" t="s">
        <v>245</v>
      </c>
      <c r="AD309" s="30" t="s">
        <v>245</v>
      </c>
      <c r="AE309" s="30" t="s">
        <v>245</v>
      </c>
      <c r="AF309" s="30" t="s">
        <v>245</v>
      </c>
      <c r="AG309" s="30" t="s">
        <v>245</v>
      </c>
      <c r="AH309" s="30" t="s">
        <v>245</v>
      </c>
      <c r="AI309" s="30" t="s">
        <v>245</v>
      </c>
      <c r="AJ309" s="30" t="s">
        <v>245</v>
      </c>
      <c r="AK309" s="30" t="s">
        <v>245</v>
      </c>
      <c r="AL309" s="30" t="s">
        <v>245</v>
      </c>
      <c r="AM309" s="30" t="s">
        <v>245</v>
      </c>
      <c r="AN309" s="30" t="s">
        <v>245</v>
      </c>
      <c r="AO309" s="30" t="s">
        <v>504</v>
      </c>
      <c r="AP309" s="30" t="s">
        <v>505</v>
      </c>
      <c r="AQ309" s="30" t="s">
        <v>245</v>
      </c>
      <c r="AR309" s="30" t="s">
        <v>245</v>
      </c>
      <c r="AS309" s="30" t="s">
        <v>245</v>
      </c>
      <c r="AT309" s="30" t="s">
        <v>550</v>
      </c>
      <c r="AU309" s="30">
        <v>2021</v>
      </c>
      <c r="AV309" s="30">
        <v>167</v>
      </c>
      <c r="AW309" s="30" t="s">
        <v>245</v>
      </c>
      <c r="AX309" s="30" t="s">
        <v>245</v>
      </c>
      <c r="AY309" s="30" t="s">
        <v>245</v>
      </c>
      <c r="AZ309" s="30" t="s">
        <v>245</v>
      </c>
      <c r="BA309" s="30" t="s">
        <v>245</v>
      </c>
      <c r="BB309" s="30" t="s">
        <v>245</v>
      </c>
      <c r="BC309" s="30" t="s">
        <v>245</v>
      </c>
      <c r="BD309" s="30">
        <v>104163</v>
      </c>
      <c r="BE309" s="30" t="s">
        <v>2641</v>
      </c>
      <c r="BF309" s="30" t="str">
        <f>HYPERLINK("http://dx.doi.org/10.1016/j.apsoil.2021.104163","http://dx.doi.org/10.1016/j.apsoil.2021.104163")</f>
        <v>http://dx.doi.org/10.1016/j.apsoil.2021.104163</v>
      </c>
      <c r="BG309" s="30" t="s">
        <v>245</v>
      </c>
      <c r="BH309" s="30" t="s">
        <v>1328</v>
      </c>
      <c r="BI309" s="30" t="s">
        <v>245</v>
      </c>
      <c r="BJ309" s="30" t="s">
        <v>245</v>
      </c>
      <c r="BK309" s="30" t="s">
        <v>245</v>
      </c>
      <c r="BL309" s="30" t="s">
        <v>245</v>
      </c>
      <c r="BM309" s="30" t="s">
        <v>245</v>
      </c>
      <c r="BN309" s="30" t="s">
        <v>245</v>
      </c>
      <c r="BO309" s="30" t="s">
        <v>245</v>
      </c>
      <c r="BP309" s="30" t="s">
        <v>245</v>
      </c>
      <c r="BQ309" s="30" t="s">
        <v>245</v>
      </c>
      <c r="BR309" s="30" t="s">
        <v>245</v>
      </c>
      <c r="BS309" s="30" t="s">
        <v>2642</v>
      </c>
      <c r="BT309" s="30" t="str">
        <f>HYPERLINK("https%3A%2F%2Fwww.webofscience.com%2Fwos%2Fwoscc%2Ffull-record%2FWOS:000691502100006","View Full Record in Web of Science")</f>
        <v>View Full Record in Web of Science</v>
      </c>
    </row>
    <row r="310" spans="1:72" x14ac:dyDescent="0.2">
      <c r="A310" s="30" t="s">
        <v>243</v>
      </c>
      <c r="B310" s="30" t="s">
        <v>2643</v>
      </c>
      <c r="C310" s="30" t="s">
        <v>245</v>
      </c>
      <c r="D310" s="30" t="s">
        <v>245</v>
      </c>
      <c r="E310" s="30" t="s">
        <v>245</v>
      </c>
      <c r="F310" s="30" t="s">
        <v>2644</v>
      </c>
      <c r="G310" s="30" t="s">
        <v>245</v>
      </c>
      <c r="H310" s="30" t="s">
        <v>245</v>
      </c>
      <c r="I310" s="30" t="s">
        <v>2645</v>
      </c>
      <c r="J310" s="30" t="s">
        <v>2646</v>
      </c>
      <c r="K310" s="30" t="s">
        <v>245</v>
      </c>
      <c r="L310" s="30" t="s">
        <v>245</v>
      </c>
      <c r="M310" s="30" t="s">
        <v>245</v>
      </c>
      <c r="N310" s="30" t="s">
        <v>245</v>
      </c>
      <c r="O310" s="30" t="s">
        <v>245</v>
      </c>
      <c r="P310" s="30" t="s">
        <v>245</v>
      </c>
      <c r="Q310" s="30" t="s">
        <v>245</v>
      </c>
      <c r="R310" s="30" t="s">
        <v>245</v>
      </c>
      <c r="S310" s="30" t="s">
        <v>245</v>
      </c>
      <c r="T310" s="30" t="s">
        <v>245</v>
      </c>
      <c r="U310" s="30" t="s">
        <v>245</v>
      </c>
      <c r="V310" s="30" t="s">
        <v>245</v>
      </c>
      <c r="W310" s="30" t="s">
        <v>245</v>
      </c>
      <c r="X310" s="30" t="s">
        <v>245</v>
      </c>
      <c r="Y310" s="30" t="s">
        <v>245</v>
      </c>
      <c r="Z310" s="30" t="s">
        <v>245</v>
      </c>
      <c r="AA310" s="30" t="s">
        <v>2647</v>
      </c>
      <c r="AB310" s="30" t="s">
        <v>2648</v>
      </c>
      <c r="AC310" s="30" t="s">
        <v>245</v>
      </c>
      <c r="AD310" s="30" t="s">
        <v>245</v>
      </c>
      <c r="AE310" s="30" t="s">
        <v>245</v>
      </c>
      <c r="AF310" s="30" t="s">
        <v>245</v>
      </c>
      <c r="AG310" s="30" t="s">
        <v>245</v>
      </c>
      <c r="AH310" s="30" t="s">
        <v>245</v>
      </c>
      <c r="AI310" s="30" t="s">
        <v>245</v>
      </c>
      <c r="AJ310" s="30" t="s">
        <v>245</v>
      </c>
      <c r="AK310" s="30" t="s">
        <v>245</v>
      </c>
      <c r="AL310" s="30" t="s">
        <v>245</v>
      </c>
      <c r="AM310" s="30" t="s">
        <v>245</v>
      </c>
      <c r="AN310" s="30" t="s">
        <v>245</v>
      </c>
      <c r="AO310" s="30" t="s">
        <v>2649</v>
      </c>
      <c r="AP310" s="30" t="s">
        <v>2650</v>
      </c>
      <c r="AQ310" s="30" t="s">
        <v>245</v>
      </c>
      <c r="AR310" s="30" t="s">
        <v>245</v>
      </c>
      <c r="AS310" s="30" t="s">
        <v>245</v>
      </c>
      <c r="AT310" s="30" t="s">
        <v>2651</v>
      </c>
      <c r="AU310" s="30">
        <v>2024</v>
      </c>
      <c r="AV310" s="30">
        <v>255</v>
      </c>
      <c r="AW310" s="30" t="s">
        <v>245</v>
      </c>
      <c r="AX310" s="30" t="s">
        <v>245</v>
      </c>
      <c r="AY310" s="30" t="s">
        <v>245</v>
      </c>
      <c r="AZ310" s="30" t="s">
        <v>245</v>
      </c>
      <c r="BA310" s="30" t="s">
        <v>245</v>
      </c>
      <c r="BB310" s="30" t="s">
        <v>245</v>
      </c>
      <c r="BC310" s="30" t="s">
        <v>245</v>
      </c>
      <c r="BD310" s="30">
        <v>121498</v>
      </c>
      <c r="BE310" s="30" t="s">
        <v>2652</v>
      </c>
      <c r="BF310" s="30" t="str">
        <f>HYPERLINK("http://dx.doi.org/10.1016/j.watres.2024.121498","http://dx.doi.org/10.1016/j.watres.2024.121498")</f>
        <v>http://dx.doi.org/10.1016/j.watres.2024.121498</v>
      </c>
      <c r="BG310" s="30" t="s">
        <v>245</v>
      </c>
      <c r="BH310" s="30" t="s">
        <v>2653</v>
      </c>
      <c r="BI310" s="30" t="s">
        <v>245</v>
      </c>
      <c r="BJ310" s="30" t="s">
        <v>245</v>
      </c>
      <c r="BK310" s="30" t="s">
        <v>245</v>
      </c>
      <c r="BL310" s="30" t="s">
        <v>245</v>
      </c>
      <c r="BM310" s="30" t="s">
        <v>245</v>
      </c>
      <c r="BN310" s="30">
        <v>38522398</v>
      </c>
      <c r="BO310" s="30" t="s">
        <v>245</v>
      </c>
      <c r="BP310" s="30" t="s">
        <v>245</v>
      </c>
      <c r="BQ310" s="30" t="s">
        <v>245</v>
      </c>
      <c r="BR310" s="30" t="s">
        <v>245</v>
      </c>
      <c r="BS310" s="30" t="s">
        <v>2654</v>
      </c>
      <c r="BT310" s="30" t="str">
        <f>HYPERLINK("https%3A%2F%2Fwww.webofscience.com%2Fwos%2Fwoscc%2Ffull-record%2FWOS:001218624200001","View Full Record in Web of Science")</f>
        <v>View Full Record in Web of Science</v>
      </c>
    </row>
    <row r="311" spans="1:72" x14ac:dyDescent="0.2">
      <c r="A311" s="30" t="s">
        <v>243</v>
      </c>
      <c r="B311" s="30" t="s">
        <v>2655</v>
      </c>
      <c r="C311" s="30" t="s">
        <v>245</v>
      </c>
      <c r="D311" s="30" t="s">
        <v>245</v>
      </c>
      <c r="E311" s="30" t="s">
        <v>245</v>
      </c>
      <c r="F311" s="30" t="s">
        <v>2656</v>
      </c>
      <c r="G311" s="30" t="s">
        <v>245</v>
      </c>
      <c r="H311" s="30" t="s">
        <v>245</v>
      </c>
      <c r="I311" s="30" t="s">
        <v>2657</v>
      </c>
      <c r="J311" s="30" t="s">
        <v>2658</v>
      </c>
      <c r="K311" s="30" t="s">
        <v>245</v>
      </c>
      <c r="L311" s="30" t="s">
        <v>245</v>
      </c>
      <c r="M311" s="30" t="s">
        <v>245</v>
      </c>
      <c r="N311" s="30" t="s">
        <v>245</v>
      </c>
      <c r="O311" s="30" t="s">
        <v>245</v>
      </c>
      <c r="P311" s="30" t="s">
        <v>245</v>
      </c>
      <c r="Q311" s="30" t="s">
        <v>245</v>
      </c>
      <c r="R311" s="30" t="s">
        <v>245</v>
      </c>
      <c r="S311" s="30" t="s">
        <v>245</v>
      </c>
      <c r="T311" s="30" t="s">
        <v>245</v>
      </c>
      <c r="U311" s="30" t="s">
        <v>245</v>
      </c>
      <c r="V311" s="30" t="s">
        <v>245</v>
      </c>
      <c r="W311" s="30" t="s">
        <v>245</v>
      </c>
      <c r="X311" s="30" t="s">
        <v>245</v>
      </c>
      <c r="Y311" s="30" t="s">
        <v>245</v>
      </c>
      <c r="Z311" s="30" t="s">
        <v>245</v>
      </c>
      <c r="AA311" s="30" t="s">
        <v>2659</v>
      </c>
      <c r="AB311" s="30" t="s">
        <v>2660</v>
      </c>
      <c r="AC311" s="30" t="s">
        <v>245</v>
      </c>
      <c r="AD311" s="30" t="s">
        <v>245</v>
      </c>
      <c r="AE311" s="30" t="s">
        <v>245</v>
      </c>
      <c r="AF311" s="30" t="s">
        <v>245</v>
      </c>
      <c r="AG311" s="30" t="s">
        <v>245</v>
      </c>
      <c r="AH311" s="30" t="s">
        <v>245</v>
      </c>
      <c r="AI311" s="30" t="s">
        <v>245</v>
      </c>
      <c r="AJ311" s="30" t="s">
        <v>245</v>
      </c>
      <c r="AK311" s="30" t="s">
        <v>245</v>
      </c>
      <c r="AL311" s="30" t="s">
        <v>245</v>
      </c>
      <c r="AM311" s="30" t="s">
        <v>245</v>
      </c>
      <c r="AN311" s="30" t="s">
        <v>245</v>
      </c>
      <c r="AO311" s="30" t="s">
        <v>2661</v>
      </c>
      <c r="AP311" s="30" t="s">
        <v>2662</v>
      </c>
      <c r="AQ311" s="30" t="s">
        <v>245</v>
      </c>
      <c r="AR311" s="30" t="s">
        <v>245</v>
      </c>
      <c r="AS311" s="30" t="s">
        <v>245</v>
      </c>
      <c r="AT311" s="30" t="s">
        <v>265</v>
      </c>
      <c r="AU311" s="30">
        <v>2014</v>
      </c>
      <c r="AV311" s="30">
        <v>43</v>
      </c>
      <c r="AW311" s="30">
        <v>6</v>
      </c>
      <c r="AX311" s="30" t="s">
        <v>245</v>
      </c>
      <c r="AY311" s="30" t="s">
        <v>245</v>
      </c>
      <c r="AZ311" s="30" t="s">
        <v>298</v>
      </c>
      <c r="BA311" s="30" t="s">
        <v>245</v>
      </c>
      <c r="BB311" s="30">
        <v>989</v>
      </c>
      <c r="BC311" s="30">
        <v>997</v>
      </c>
      <c r="BD311" s="30" t="s">
        <v>245</v>
      </c>
      <c r="BE311" s="30" t="s">
        <v>245</v>
      </c>
      <c r="BF311" s="30" t="s">
        <v>245</v>
      </c>
      <c r="BG311" s="30" t="s">
        <v>245</v>
      </c>
      <c r="BH311" s="30" t="s">
        <v>245</v>
      </c>
      <c r="BI311" s="30" t="s">
        <v>245</v>
      </c>
      <c r="BJ311" s="30" t="s">
        <v>245</v>
      </c>
      <c r="BK311" s="30" t="s">
        <v>245</v>
      </c>
      <c r="BL311" s="30" t="s">
        <v>245</v>
      </c>
      <c r="BM311" s="30" t="s">
        <v>245</v>
      </c>
      <c r="BN311" s="30" t="s">
        <v>245</v>
      </c>
      <c r="BO311" s="30" t="s">
        <v>245</v>
      </c>
      <c r="BP311" s="30" t="s">
        <v>245</v>
      </c>
      <c r="BQ311" s="30" t="s">
        <v>245</v>
      </c>
      <c r="BR311" s="30" t="s">
        <v>245</v>
      </c>
      <c r="BS311" s="30" t="s">
        <v>2663</v>
      </c>
      <c r="BT311" s="30" t="str">
        <f>HYPERLINK("https%3A%2F%2Fwww.webofscience.com%2Fwos%2Fwoscc%2Ffull-record%2FWOS:000349813100011","View Full Record in Web of Science")</f>
        <v>View Full Record in Web of Science</v>
      </c>
    </row>
    <row r="312" spans="1:72" x14ac:dyDescent="0.2">
      <c r="A312" s="30" t="s">
        <v>243</v>
      </c>
      <c r="B312" s="30" t="s">
        <v>2664</v>
      </c>
      <c r="C312" s="30" t="s">
        <v>245</v>
      </c>
      <c r="D312" s="30" t="s">
        <v>245</v>
      </c>
      <c r="E312" s="30" t="s">
        <v>245</v>
      </c>
      <c r="F312" s="30" t="s">
        <v>2665</v>
      </c>
      <c r="G312" s="30" t="s">
        <v>245</v>
      </c>
      <c r="H312" s="30" t="s">
        <v>245</v>
      </c>
      <c r="I312" s="30" t="s">
        <v>2666</v>
      </c>
      <c r="J312" s="30" t="s">
        <v>1054</v>
      </c>
      <c r="K312" s="30" t="s">
        <v>245</v>
      </c>
      <c r="L312" s="30" t="s">
        <v>245</v>
      </c>
      <c r="M312" s="30" t="s">
        <v>245</v>
      </c>
      <c r="N312" s="30" t="s">
        <v>245</v>
      </c>
      <c r="O312" s="30" t="s">
        <v>245</v>
      </c>
      <c r="P312" s="30" t="s">
        <v>245</v>
      </c>
      <c r="Q312" s="30" t="s">
        <v>245</v>
      </c>
      <c r="R312" s="30" t="s">
        <v>245</v>
      </c>
      <c r="S312" s="30" t="s">
        <v>245</v>
      </c>
      <c r="T312" s="30" t="s">
        <v>245</v>
      </c>
      <c r="U312" s="30" t="s">
        <v>245</v>
      </c>
      <c r="V312" s="30" t="s">
        <v>245</v>
      </c>
      <c r="W312" s="30" t="s">
        <v>245</v>
      </c>
      <c r="X312" s="30" t="s">
        <v>245</v>
      </c>
      <c r="Y312" s="30" t="s">
        <v>245</v>
      </c>
      <c r="Z312" s="30" t="s">
        <v>245</v>
      </c>
      <c r="AA312" s="30" t="s">
        <v>2667</v>
      </c>
      <c r="AB312" s="30" t="s">
        <v>2668</v>
      </c>
      <c r="AC312" s="30" t="s">
        <v>245</v>
      </c>
      <c r="AD312" s="30" t="s">
        <v>245</v>
      </c>
      <c r="AE312" s="30" t="s">
        <v>245</v>
      </c>
      <c r="AF312" s="30" t="s">
        <v>245</v>
      </c>
      <c r="AG312" s="30" t="s">
        <v>245</v>
      </c>
      <c r="AH312" s="30" t="s">
        <v>245</v>
      </c>
      <c r="AI312" s="30" t="s">
        <v>245</v>
      </c>
      <c r="AJ312" s="30" t="s">
        <v>245</v>
      </c>
      <c r="AK312" s="30" t="s">
        <v>245</v>
      </c>
      <c r="AL312" s="30" t="s">
        <v>245</v>
      </c>
      <c r="AM312" s="30" t="s">
        <v>245</v>
      </c>
      <c r="AN312" s="30" t="s">
        <v>245</v>
      </c>
      <c r="AO312" s="30" t="s">
        <v>1055</v>
      </c>
      <c r="AP312" s="30" t="s">
        <v>1056</v>
      </c>
      <c r="AQ312" s="30" t="s">
        <v>245</v>
      </c>
      <c r="AR312" s="30" t="s">
        <v>245</v>
      </c>
      <c r="AS312" s="30" t="s">
        <v>245</v>
      </c>
      <c r="AT312" s="30" t="s">
        <v>535</v>
      </c>
      <c r="AU312" s="30">
        <v>2021</v>
      </c>
      <c r="AV312" s="30">
        <v>41</v>
      </c>
      <c r="AW312" s="30">
        <v>6</v>
      </c>
      <c r="AX312" s="30" t="s">
        <v>245</v>
      </c>
      <c r="AY312" s="30" t="s">
        <v>245</v>
      </c>
      <c r="AZ312" s="30" t="s">
        <v>245</v>
      </c>
      <c r="BA312" s="30" t="s">
        <v>245</v>
      </c>
      <c r="BB312" s="30" t="s">
        <v>245</v>
      </c>
      <c r="BC312" s="30" t="s">
        <v>245</v>
      </c>
      <c r="BD312" s="30">
        <v>71</v>
      </c>
      <c r="BE312" s="30" t="s">
        <v>2669</v>
      </c>
      <c r="BF312" s="30" t="str">
        <f>HYPERLINK("http://dx.doi.org/10.1007/s13157-021-01465-y","http://dx.doi.org/10.1007/s13157-021-01465-y")</f>
        <v>http://dx.doi.org/10.1007/s13157-021-01465-y</v>
      </c>
      <c r="BG312" s="30" t="s">
        <v>245</v>
      </c>
      <c r="BH312" s="30" t="s">
        <v>245</v>
      </c>
      <c r="BI312" s="30" t="s">
        <v>245</v>
      </c>
      <c r="BJ312" s="30" t="s">
        <v>245</v>
      </c>
      <c r="BK312" s="30" t="s">
        <v>245</v>
      </c>
      <c r="BL312" s="30" t="s">
        <v>245</v>
      </c>
      <c r="BM312" s="30" t="s">
        <v>245</v>
      </c>
      <c r="BN312" s="30" t="s">
        <v>245</v>
      </c>
      <c r="BO312" s="30" t="s">
        <v>245</v>
      </c>
      <c r="BP312" s="30" t="s">
        <v>245</v>
      </c>
      <c r="BQ312" s="30" t="s">
        <v>245</v>
      </c>
      <c r="BR312" s="30" t="s">
        <v>245</v>
      </c>
      <c r="BS312" s="30" t="s">
        <v>2670</v>
      </c>
      <c r="BT312" s="30" t="str">
        <f>HYPERLINK("https%3A%2F%2Fwww.webofscience.com%2Fwos%2Fwoscc%2Ffull-record%2FWOS:000691579000003","View Full Record in Web of Science")</f>
        <v>View Full Record in Web of Science</v>
      </c>
    </row>
    <row r="313" spans="1:72" x14ac:dyDescent="0.2">
      <c r="A313" s="30" t="s">
        <v>243</v>
      </c>
      <c r="B313" s="30" t="s">
        <v>2671</v>
      </c>
      <c r="C313" s="30" t="s">
        <v>245</v>
      </c>
      <c r="D313" s="30" t="s">
        <v>245</v>
      </c>
      <c r="E313" s="30" t="s">
        <v>245</v>
      </c>
      <c r="F313" s="30" t="s">
        <v>2672</v>
      </c>
      <c r="G313" s="30" t="s">
        <v>245</v>
      </c>
      <c r="H313" s="30" t="s">
        <v>245</v>
      </c>
      <c r="I313" s="30" t="s">
        <v>2673</v>
      </c>
      <c r="J313" s="30" t="s">
        <v>641</v>
      </c>
      <c r="K313" s="30" t="s">
        <v>245</v>
      </c>
      <c r="L313" s="30" t="s">
        <v>245</v>
      </c>
      <c r="M313" s="30" t="s">
        <v>245</v>
      </c>
      <c r="N313" s="30" t="s">
        <v>245</v>
      </c>
      <c r="O313" s="30" t="s">
        <v>245</v>
      </c>
      <c r="P313" s="30" t="s">
        <v>245</v>
      </c>
      <c r="Q313" s="30" t="s">
        <v>245</v>
      </c>
      <c r="R313" s="30" t="s">
        <v>245</v>
      </c>
      <c r="S313" s="30" t="s">
        <v>245</v>
      </c>
      <c r="T313" s="30" t="s">
        <v>245</v>
      </c>
      <c r="U313" s="30" t="s">
        <v>245</v>
      </c>
      <c r="V313" s="30" t="s">
        <v>245</v>
      </c>
      <c r="W313" s="30" t="s">
        <v>245</v>
      </c>
      <c r="X313" s="30" t="s">
        <v>245</v>
      </c>
      <c r="Y313" s="30" t="s">
        <v>245</v>
      </c>
      <c r="Z313" s="30" t="s">
        <v>245</v>
      </c>
      <c r="AA313" s="30" t="s">
        <v>245</v>
      </c>
      <c r="AB313" s="30" t="s">
        <v>2674</v>
      </c>
      <c r="AC313" s="30" t="s">
        <v>245</v>
      </c>
      <c r="AD313" s="30" t="s">
        <v>245</v>
      </c>
      <c r="AE313" s="30" t="s">
        <v>245</v>
      </c>
      <c r="AF313" s="30" t="s">
        <v>245</v>
      </c>
      <c r="AG313" s="30" t="s">
        <v>245</v>
      </c>
      <c r="AH313" s="30" t="s">
        <v>245</v>
      </c>
      <c r="AI313" s="30" t="s">
        <v>245</v>
      </c>
      <c r="AJ313" s="30" t="s">
        <v>245</v>
      </c>
      <c r="AK313" s="30" t="s">
        <v>245</v>
      </c>
      <c r="AL313" s="30" t="s">
        <v>245</v>
      </c>
      <c r="AM313" s="30" t="s">
        <v>245</v>
      </c>
      <c r="AN313" s="30" t="s">
        <v>245</v>
      </c>
      <c r="AO313" s="30" t="s">
        <v>644</v>
      </c>
      <c r="AP313" s="30" t="s">
        <v>645</v>
      </c>
      <c r="AQ313" s="30" t="s">
        <v>245</v>
      </c>
      <c r="AR313" s="30" t="s">
        <v>245</v>
      </c>
      <c r="AS313" s="30" t="s">
        <v>245</v>
      </c>
      <c r="AT313" s="30" t="s">
        <v>286</v>
      </c>
      <c r="AU313" s="30">
        <v>2022</v>
      </c>
      <c r="AV313" s="30">
        <v>51</v>
      </c>
      <c r="AW313" s="30">
        <v>1</v>
      </c>
      <c r="AX313" s="30" t="s">
        <v>245</v>
      </c>
      <c r="AY313" s="30" t="s">
        <v>245</v>
      </c>
      <c r="AZ313" s="30" t="s">
        <v>245</v>
      </c>
      <c r="BA313" s="30" t="s">
        <v>245</v>
      </c>
      <c r="BB313" s="30">
        <v>1</v>
      </c>
      <c r="BC313" s="30">
        <v>18</v>
      </c>
      <c r="BD313" s="30" t="s">
        <v>245</v>
      </c>
      <c r="BE313" s="30" t="s">
        <v>2675</v>
      </c>
      <c r="BF313" s="30" t="str">
        <f>HYPERLINK("http://dx.doi.org/10.1002/jeq2.20302","http://dx.doi.org/10.1002/jeq2.20302")</f>
        <v>http://dx.doi.org/10.1002/jeq2.20302</v>
      </c>
      <c r="BG313" s="30" t="s">
        <v>245</v>
      </c>
      <c r="BH313" s="30" t="s">
        <v>2676</v>
      </c>
      <c r="BI313" s="30" t="s">
        <v>245</v>
      </c>
      <c r="BJ313" s="30" t="s">
        <v>245</v>
      </c>
      <c r="BK313" s="30" t="s">
        <v>245</v>
      </c>
      <c r="BL313" s="30" t="s">
        <v>245</v>
      </c>
      <c r="BM313" s="30" t="s">
        <v>245</v>
      </c>
      <c r="BN313" s="30">
        <v>34699064</v>
      </c>
      <c r="BO313" s="30" t="s">
        <v>245</v>
      </c>
      <c r="BP313" s="30" t="s">
        <v>245</v>
      </c>
      <c r="BQ313" s="30" t="s">
        <v>245</v>
      </c>
      <c r="BR313" s="30" t="s">
        <v>245</v>
      </c>
      <c r="BS313" s="30" t="s">
        <v>2677</v>
      </c>
      <c r="BT313" s="30" t="str">
        <f>HYPERLINK("https%3A%2F%2Fwww.webofscience.com%2Fwos%2Fwoscc%2Ffull-record%2FWOS:000722215100001","View Full Record in Web of Science")</f>
        <v>View Full Record in Web of Science</v>
      </c>
    </row>
    <row r="314" spans="1:72" x14ac:dyDescent="0.2">
      <c r="A314" s="30" t="s">
        <v>243</v>
      </c>
      <c r="B314" s="30" t="s">
        <v>2678</v>
      </c>
      <c r="C314" s="30" t="s">
        <v>245</v>
      </c>
      <c r="D314" s="30" t="s">
        <v>245</v>
      </c>
      <c r="E314" s="30" t="s">
        <v>245</v>
      </c>
      <c r="F314" s="30" t="s">
        <v>2679</v>
      </c>
      <c r="G314" s="30" t="s">
        <v>245</v>
      </c>
      <c r="H314" s="30" t="s">
        <v>245</v>
      </c>
      <c r="I314" s="30" t="s">
        <v>2680</v>
      </c>
      <c r="J314" s="30" t="s">
        <v>2681</v>
      </c>
      <c r="K314" s="30" t="s">
        <v>245</v>
      </c>
      <c r="L314" s="30" t="s">
        <v>245</v>
      </c>
      <c r="M314" s="30" t="s">
        <v>245</v>
      </c>
      <c r="N314" s="30" t="s">
        <v>245</v>
      </c>
      <c r="O314" s="30" t="s">
        <v>245</v>
      </c>
      <c r="P314" s="30" t="s">
        <v>245</v>
      </c>
      <c r="Q314" s="30" t="s">
        <v>245</v>
      </c>
      <c r="R314" s="30" t="s">
        <v>245</v>
      </c>
      <c r="S314" s="30" t="s">
        <v>245</v>
      </c>
      <c r="T314" s="30" t="s">
        <v>245</v>
      </c>
      <c r="U314" s="30" t="s">
        <v>245</v>
      </c>
      <c r="V314" s="30" t="s">
        <v>245</v>
      </c>
      <c r="W314" s="30" t="s">
        <v>245</v>
      </c>
      <c r="X314" s="30" t="s">
        <v>245</v>
      </c>
      <c r="Y314" s="30" t="s">
        <v>245</v>
      </c>
      <c r="Z314" s="30" t="s">
        <v>245</v>
      </c>
      <c r="AA314" s="30" t="s">
        <v>2682</v>
      </c>
      <c r="AB314" s="30" t="s">
        <v>2683</v>
      </c>
      <c r="AC314" s="30" t="s">
        <v>245</v>
      </c>
      <c r="AD314" s="30" t="s">
        <v>245</v>
      </c>
      <c r="AE314" s="30" t="s">
        <v>245</v>
      </c>
      <c r="AF314" s="30" t="s">
        <v>245</v>
      </c>
      <c r="AG314" s="30" t="s">
        <v>245</v>
      </c>
      <c r="AH314" s="30" t="s">
        <v>245</v>
      </c>
      <c r="AI314" s="30" t="s">
        <v>245</v>
      </c>
      <c r="AJ314" s="30" t="s">
        <v>245</v>
      </c>
      <c r="AK314" s="30" t="s">
        <v>245</v>
      </c>
      <c r="AL314" s="30" t="s">
        <v>245</v>
      </c>
      <c r="AM314" s="30" t="s">
        <v>245</v>
      </c>
      <c r="AN314" s="30" t="s">
        <v>245</v>
      </c>
      <c r="AO314" s="30" t="s">
        <v>2684</v>
      </c>
      <c r="AP314" s="30" t="s">
        <v>245</v>
      </c>
      <c r="AQ314" s="30" t="s">
        <v>245</v>
      </c>
      <c r="AR314" s="30" t="s">
        <v>245</v>
      </c>
      <c r="AS314" s="30" t="s">
        <v>245</v>
      </c>
      <c r="AT314" s="30" t="s">
        <v>2685</v>
      </c>
      <c r="AU314" s="30">
        <v>2007</v>
      </c>
      <c r="AV314" s="30">
        <v>205</v>
      </c>
      <c r="AW314" s="30" t="s">
        <v>1566</v>
      </c>
      <c r="AX314" s="30" t="s">
        <v>245</v>
      </c>
      <c r="AY314" s="30" t="s">
        <v>245</v>
      </c>
      <c r="AZ314" s="30" t="s">
        <v>245</v>
      </c>
      <c r="BA314" s="30" t="s">
        <v>245</v>
      </c>
      <c r="BB314" s="30">
        <v>475</v>
      </c>
      <c r="BC314" s="30">
        <v>491</v>
      </c>
      <c r="BD314" s="30" t="s">
        <v>245</v>
      </c>
      <c r="BE314" s="30" t="s">
        <v>2686</v>
      </c>
      <c r="BF314" s="30" t="str">
        <f>HYPERLINK("http://dx.doi.org/10.1016/j.ecolmodel.2007.03.014","http://dx.doi.org/10.1016/j.ecolmodel.2007.03.014")</f>
        <v>http://dx.doi.org/10.1016/j.ecolmodel.2007.03.014</v>
      </c>
      <c r="BG314" s="30" t="s">
        <v>245</v>
      </c>
      <c r="BH314" s="30" t="s">
        <v>245</v>
      </c>
      <c r="BI314" s="30" t="s">
        <v>245</v>
      </c>
      <c r="BJ314" s="30" t="s">
        <v>245</v>
      </c>
      <c r="BK314" s="30" t="s">
        <v>245</v>
      </c>
      <c r="BL314" s="30" t="s">
        <v>245</v>
      </c>
      <c r="BM314" s="30" t="s">
        <v>245</v>
      </c>
      <c r="BN314" s="30" t="s">
        <v>245</v>
      </c>
      <c r="BO314" s="30" t="s">
        <v>245</v>
      </c>
      <c r="BP314" s="30" t="s">
        <v>245</v>
      </c>
      <c r="BQ314" s="30" t="s">
        <v>245</v>
      </c>
      <c r="BR314" s="30" t="s">
        <v>245</v>
      </c>
      <c r="BS314" s="30" t="s">
        <v>2687</v>
      </c>
      <c r="BT314" s="30" t="str">
        <f>HYPERLINK("https%3A%2F%2Fwww.webofscience.com%2Fwos%2Fwoscc%2Ffull-record%2FWOS:000247378200017","View Full Record in Web of Science")</f>
        <v>View Full Record in Web of Science</v>
      </c>
    </row>
    <row r="315" spans="1:72" x14ac:dyDescent="0.2">
      <c r="A315" s="30" t="s">
        <v>243</v>
      </c>
      <c r="B315" s="30" t="s">
        <v>2688</v>
      </c>
      <c r="C315" s="30" t="s">
        <v>245</v>
      </c>
      <c r="D315" s="30" t="s">
        <v>245</v>
      </c>
      <c r="E315" s="30" t="s">
        <v>245</v>
      </c>
      <c r="F315" s="30" t="s">
        <v>2689</v>
      </c>
      <c r="G315" s="30" t="s">
        <v>245</v>
      </c>
      <c r="H315" s="30" t="s">
        <v>245</v>
      </c>
      <c r="I315" s="30" t="s">
        <v>2690</v>
      </c>
      <c r="J315" s="30" t="s">
        <v>2691</v>
      </c>
      <c r="K315" s="30" t="s">
        <v>245</v>
      </c>
      <c r="L315" s="30" t="s">
        <v>245</v>
      </c>
      <c r="M315" s="30" t="s">
        <v>245</v>
      </c>
      <c r="N315" s="30" t="s">
        <v>245</v>
      </c>
      <c r="O315" s="30" t="s">
        <v>245</v>
      </c>
      <c r="P315" s="30" t="s">
        <v>245</v>
      </c>
      <c r="Q315" s="30" t="s">
        <v>245</v>
      </c>
      <c r="R315" s="30" t="s">
        <v>245</v>
      </c>
      <c r="S315" s="30" t="s">
        <v>245</v>
      </c>
      <c r="T315" s="30" t="s">
        <v>245</v>
      </c>
      <c r="U315" s="30" t="s">
        <v>245</v>
      </c>
      <c r="V315" s="30" t="s">
        <v>245</v>
      </c>
      <c r="W315" s="30" t="s">
        <v>245</v>
      </c>
      <c r="X315" s="30" t="s">
        <v>245</v>
      </c>
      <c r="Y315" s="30" t="s">
        <v>245</v>
      </c>
      <c r="Z315" s="30" t="s">
        <v>245</v>
      </c>
      <c r="AA315" s="30" t="s">
        <v>245</v>
      </c>
      <c r="AB315" s="30" t="s">
        <v>2692</v>
      </c>
      <c r="AC315" s="30" t="s">
        <v>245</v>
      </c>
      <c r="AD315" s="30" t="s">
        <v>245</v>
      </c>
      <c r="AE315" s="30" t="s">
        <v>245</v>
      </c>
      <c r="AF315" s="30" t="s">
        <v>245</v>
      </c>
      <c r="AG315" s="30" t="s">
        <v>245</v>
      </c>
      <c r="AH315" s="30" t="s">
        <v>245</v>
      </c>
      <c r="AI315" s="30" t="s">
        <v>245</v>
      </c>
      <c r="AJ315" s="30" t="s">
        <v>245</v>
      </c>
      <c r="AK315" s="30" t="s">
        <v>245</v>
      </c>
      <c r="AL315" s="30" t="s">
        <v>245</v>
      </c>
      <c r="AM315" s="30" t="s">
        <v>245</v>
      </c>
      <c r="AN315" s="30" t="s">
        <v>245</v>
      </c>
      <c r="AO315" s="30" t="s">
        <v>245</v>
      </c>
      <c r="AP315" s="30" t="s">
        <v>2693</v>
      </c>
      <c r="AQ315" s="30" t="s">
        <v>245</v>
      </c>
      <c r="AR315" s="30" t="s">
        <v>245</v>
      </c>
      <c r="AS315" s="30" t="s">
        <v>245</v>
      </c>
      <c r="AT315" s="30" t="s">
        <v>286</v>
      </c>
      <c r="AU315" s="30">
        <v>2025</v>
      </c>
      <c r="AV315" s="30">
        <v>7</v>
      </c>
      <c r="AW315" s="30">
        <v>1</v>
      </c>
      <c r="AX315" s="30" t="s">
        <v>245</v>
      </c>
      <c r="AY315" s="30" t="s">
        <v>245</v>
      </c>
      <c r="AZ315" s="30" t="s">
        <v>245</v>
      </c>
      <c r="BA315" s="30" t="s">
        <v>245</v>
      </c>
      <c r="BB315" s="30">
        <v>62</v>
      </c>
      <c r="BC315" s="30">
        <v>79</v>
      </c>
      <c r="BD315" s="30" t="s">
        <v>245</v>
      </c>
      <c r="BE315" s="30" t="s">
        <v>2694</v>
      </c>
      <c r="BF315" s="30" t="str">
        <f>HYPERLINK("http://dx.doi.org/10.1002/ppp3.10578","http://dx.doi.org/10.1002/ppp3.10578")</f>
        <v>http://dx.doi.org/10.1002/ppp3.10578</v>
      </c>
      <c r="BG315" s="30" t="s">
        <v>245</v>
      </c>
      <c r="BH315" s="30" t="s">
        <v>2695</v>
      </c>
      <c r="BI315" s="30" t="s">
        <v>245</v>
      </c>
      <c r="BJ315" s="30" t="s">
        <v>245</v>
      </c>
      <c r="BK315" s="30" t="s">
        <v>245</v>
      </c>
      <c r="BL315" s="30" t="s">
        <v>245</v>
      </c>
      <c r="BM315" s="30" t="s">
        <v>245</v>
      </c>
      <c r="BN315" s="30" t="s">
        <v>245</v>
      </c>
      <c r="BO315" s="30" t="s">
        <v>245</v>
      </c>
      <c r="BP315" s="30" t="s">
        <v>245</v>
      </c>
      <c r="BQ315" s="30" t="s">
        <v>245</v>
      </c>
      <c r="BR315" s="30" t="s">
        <v>245</v>
      </c>
      <c r="BS315" s="30" t="s">
        <v>2696</v>
      </c>
      <c r="BT315" s="30" t="str">
        <f>HYPERLINK("https%3A%2F%2Fwww.webofscience.com%2Fwos%2Fwoscc%2Ffull-record%2FWOS:001334204700001","View Full Record in Web of Science")</f>
        <v>View Full Record in Web of Science</v>
      </c>
    </row>
    <row r="316" spans="1:72" x14ac:dyDescent="0.2">
      <c r="A316" s="30" t="s">
        <v>243</v>
      </c>
      <c r="B316" s="30" t="s">
        <v>2697</v>
      </c>
      <c r="C316" s="30" t="s">
        <v>245</v>
      </c>
      <c r="D316" s="30" t="s">
        <v>245</v>
      </c>
      <c r="E316" s="30" t="s">
        <v>245</v>
      </c>
      <c r="F316" s="30" t="s">
        <v>2697</v>
      </c>
      <c r="G316" s="30" t="s">
        <v>245</v>
      </c>
      <c r="H316" s="30" t="s">
        <v>245</v>
      </c>
      <c r="I316" s="30" t="s">
        <v>2698</v>
      </c>
      <c r="J316" s="30" t="s">
        <v>2699</v>
      </c>
      <c r="K316" s="30" t="s">
        <v>245</v>
      </c>
      <c r="L316" s="30" t="s">
        <v>245</v>
      </c>
      <c r="M316" s="30" t="s">
        <v>245</v>
      </c>
      <c r="N316" s="30" t="s">
        <v>245</v>
      </c>
      <c r="O316" s="30" t="s">
        <v>245</v>
      </c>
      <c r="P316" s="30" t="s">
        <v>245</v>
      </c>
      <c r="Q316" s="30" t="s">
        <v>245</v>
      </c>
      <c r="R316" s="30" t="s">
        <v>245</v>
      </c>
      <c r="S316" s="30" t="s">
        <v>245</v>
      </c>
      <c r="T316" s="30" t="s">
        <v>245</v>
      </c>
      <c r="U316" s="30" t="s">
        <v>245</v>
      </c>
      <c r="V316" s="30" t="s">
        <v>245</v>
      </c>
      <c r="W316" s="30" t="s">
        <v>245</v>
      </c>
      <c r="X316" s="30" t="s">
        <v>245</v>
      </c>
      <c r="Y316" s="30" t="s">
        <v>245</v>
      </c>
      <c r="Z316" s="30" t="s">
        <v>245</v>
      </c>
      <c r="AA316" s="30" t="s">
        <v>342</v>
      </c>
      <c r="AB316" s="30" t="s">
        <v>245</v>
      </c>
      <c r="AC316" s="30" t="s">
        <v>245</v>
      </c>
      <c r="AD316" s="30" t="s">
        <v>245</v>
      </c>
      <c r="AE316" s="30" t="s">
        <v>245</v>
      </c>
      <c r="AF316" s="30" t="s">
        <v>245</v>
      </c>
      <c r="AG316" s="30" t="s">
        <v>245</v>
      </c>
      <c r="AH316" s="30" t="s">
        <v>245</v>
      </c>
      <c r="AI316" s="30" t="s">
        <v>245</v>
      </c>
      <c r="AJ316" s="30" t="s">
        <v>245</v>
      </c>
      <c r="AK316" s="30" t="s">
        <v>245</v>
      </c>
      <c r="AL316" s="30" t="s">
        <v>245</v>
      </c>
      <c r="AM316" s="30" t="s">
        <v>245</v>
      </c>
      <c r="AN316" s="30" t="s">
        <v>245</v>
      </c>
      <c r="AO316" s="30" t="s">
        <v>2700</v>
      </c>
      <c r="AP316" s="30" t="s">
        <v>2701</v>
      </c>
      <c r="AQ316" s="30" t="s">
        <v>245</v>
      </c>
      <c r="AR316" s="30" t="s">
        <v>245</v>
      </c>
      <c r="AS316" s="30" t="s">
        <v>245</v>
      </c>
      <c r="AT316" s="30" t="s">
        <v>2702</v>
      </c>
      <c r="AU316" s="30">
        <v>2000</v>
      </c>
      <c r="AV316" s="30">
        <v>105</v>
      </c>
      <c r="AW316" s="30" t="s">
        <v>2703</v>
      </c>
      <c r="AX316" s="30" t="s">
        <v>245</v>
      </c>
      <c r="AY316" s="30" t="s">
        <v>245</v>
      </c>
      <c r="AZ316" s="30" t="s">
        <v>245</v>
      </c>
      <c r="BA316" s="30" t="s">
        <v>245</v>
      </c>
      <c r="BB316" s="30">
        <v>17231</v>
      </c>
      <c r="BC316" s="30">
        <v>17242</v>
      </c>
      <c r="BD316" s="30" t="s">
        <v>245</v>
      </c>
      <c r="BE316" s="30" t="s">
        <v>2704</v>
      </c>
      <c r="BF316" s="30" t="str">
        <f>HYPERLINK("http://dx.doi.org/10.1029/2000JD900014","http://dx.doi.org/10.1029/2000JD900014")</f>
        <v>http://dx.doi.org/10.1029/2000JD900014</v>
      </c>
      <c r="BG316" s="30" t="s">
        <v>245</v>
      </c>
      <c r="BH316" s="30" t="s">
        <v>245</v>
      </c>
      <c r="BI316" s="30" t="s">
        <v>245</v>
      </c>
      <c r="BJ316" s="30" t="s">
        <v>245</v>
      </c>
      <c r="BK316" s="30" t="s">
        <v>245</v>
      </c>
      <c r="BL316" s="30" t="s">
        <v>245</v>
      </c>
      <c r="BM316" s="30" t="s">
        <v>245</v>
      </c>
      <c r="BN316" s="30" t="s">
        <v>245</v>
      </c>
      <c r="BO316" s="30" t="s">
        <v>245</v>
      </c>
      <c r="BP316" s="30" t="s">
        <v>245</v>
      </c>
      <c r="BQ316" s="30" t="s">
        <v>245</v>
      </c>
      <c r="BR316" s="30" t="s">
        <v>245</v>
      </c>
      <c r="BS316" s="30" t="s">
        <v>2705</v>
      </c>
      <c r="BT316" s="30" t="str">
        <f>HYPERLINK("https%3A%2F%2Fwww.webofscience.com%2Fwos%2Fwoscc%2Ffull-record%2FWOS:000088236400001","View Full Record in Web of Science")</f>
        <v>View Full Record in Web of Science</v>
      </c>
    </row>
    <row r="317" spans="1:72" x14ac:dyDescent="0.2">
      <c r="A317" s="30" t="s">
        <v>243</v>
      </c>
      <c r="B317" s="30" t="s">
        <v>2706</v>
      </c>
      <c r="C317" s="30" t="s">
        <v>245</v>
      </c>
      <c r="D317" s="30" t="s">
        <v>245</v>
      </c>
      <c r="E317" s="30" t="s">
        <v>245</v>
      </c>
      <c r="F317" s="30" t="s">
        <v>2707</v>
      </c>
      <c r="G317" s="30" t="s">
        <v>245</v>
      </c>
      <c r="H317" s="30" t="s">
        <v>245</v>
      </c>
      <c r="I317" s="30" t="s">
        <v>2708</v>
      </c>
      <c r="J317" s="30" t="s">
        <v>450</v>
      </c>
      <c r="K317" s="30" t="s">
        <v>245</v>
      </c>
      <c r="L317" s="30" t="s">
        <v>245</v>
      </c>
      <c r="M317" s="30" t="s">
        <v>245</v>
      </c>
      <c r="N317" s="30" t="s">
        <v>245</v>
      </c>
      <c r="O317" s="30" t="s">
        <v>245</v>
      </c>
      <c r="P317" s="30" t="s">
        <v>245</v>
      </c>
      <c r="Q317" s="30" t="s">
        <v>245</v>
      </c>
      <c r="R317" s="30" t="s">
        <v>245</v>
      </c>
      <c r="S317" s="30" t="s">
        <v>245</v>
      </c>
      <c r="T317" s="30" t="s">
        <v>245</v>
      </c>
      <c r="U317" s="30" t="s">
        <v>245</v>
      </c>
      <c r="V317" s="30" t="s">
        <v>245</v>
      </c>
      <c r="W317" s="30" t="s">
        <v>245</v>
      </c>
      <c r="X317" s="30" t="s">
        <v>245</v>
      </c>
      <c r="Y317" s="30" t="s">
        <v>245</v>
      </c>
      <c r="Z317" s="30" t="s">
        <v>245</v>
      </c>
      <c r="AA317" s="30" t="s">
        <v>2709</v>
      </c>
      <c r="AB317" s="30" t="s">
        <v>2710</v>
      </c>
      <c r="AC317" s="30" t="s">
        <v>245</v>
      </c>
      <c r="AD317" s="30" t="s">
        <v>245</v>
      </c>
      <c r="AE317" s="30" t="s">
        <v>245</v>
      </c>
      <c r="AF317" s="30" t="s">
        <v>245</v>
      </c>
      <c r="AG317" s="30" t="s">
        <v>245</v>
      </c>
      <c r="AH317" s="30" t="s">
        <v>245</v>
      </c>
      <c r="AI317" s="30" t="s">
        <v>245</v>
      </c>
      <c r="AJ317" s="30" t="s">
        <v>245</v>
      </c>
      <c r="AK317" s="30" t="s">
        <v>245</v>
      </c>
      <c r="AL317" s="30" t="s">
        <v>245</v>
      </c>
      <c r="AM317" s="30" t="s">
        <v>245</v>
      </c>
      <c r="AN317" s="30" t="s">
        <v>245</v>
      </c>
      <c r="AO317" s="30" t="s">
        <v>452</v>
      </c>
      <c r="AP317" s="30" t="s">
        <v>453</v>
      </c>
      <c r="AQ317" s="30" t="s">
        <v>245</v>
      </c>
      <c r="AR317" s="30" t="s">
        <v>245</v>
      </c>
      <c r="AS317" s="30" t="s">
        <v>245</v>
      </c>
      <c r="AT317" s="30" t="s">
        <v>481</v>
      </c>
      <c r="AU317" s="30">
        <v>2023</v>
      </c>
      <c r="AV317" s="30">
        <v>197</v>
      </c>
      <c r="AW317" s="30" t="s">
        <v>245</v>
      </c>
      <c r="AX317" s="30" t="s">
        <v>245</v>
      </c>
      <c r="AY317" s="30" t="s">
        <v>245</v>
      </c>
      <c r="AZ317" s="30" t="s">
        <v>245</v>
      </c>
      <c r="BA317" s="30" t="s">
        <v>245</v>
      </c>
      <c r="BB317" s="30" t="s">
        <v>245</v>
      </c>
      <c r="BC317" s="30" t="s">
        <v>245</v>
      </c>
      <c r="BD317" s="30">
        <v>107125</v>
      </c>
      <c r="BE317" s="30" t="s">
        <v>2711</v>
      </c>
      <c r="BF317" s="30" t="str">
        <f>HYPERLINK("http://dx.doi.org/10.1016/j.ecoleng.2023.107125","http://dx.doi.org/10.1016/j.ecoleng.2023.107125")</f>
        <v>http://dx.doi.org/10.1016/j.ecoleng.2023.107125</v>
      </c>
      <c r="BG317" s="30" t="s">
        <v>245</v>
      </c>
      <c r="BH317" s="30" t="s">
        <v>607</v>
      </c>
      <c r="BI317" s="30" t="s">
        <v>245</v>
      </c>
      <c r="BJ317" s="30" t="s">
        <v>245</v>
      </c>
      <c r="BK317" s="30" t="s">
        <v>245</v>
      </c>
      <c r="BL317" s="30" t="s">
        <v>245</v>
      </c>
      <c r="BM317" s="30" t="s">
        <v>245</v>
      </c>
      <c r="BN317" s="30" t="s">
        <v>245</v>
      </c>
      <c r="BO317" s="30" t="s">
        <v>245</v>
      </c>
      <c r="BP317" s="30" t="s">
        <v>245</v>
      </c>
      <c r="BQ317" s="30" t="s">
        <v>245</v>
      </c>
      <c r="BR317" s="30" t="s">
        <v>245</v>
      </c>
      <c r="BS317" s="30" t="s">
        <v>2712</v>
      </c>
      <c r="BT317" s="30" t="str">
        <f>HYPERLINK("https%3A%2F%2Fwww.webofscience.com%2Fwos%2Fwoscc%2Ffull-record%2FWOS:001096609400001","View Full Record in Web of Science")</f>
        <v>View Full Record in Web of Science</v>
      </c>
    </row>
    <row r="318" spans="1:72" x14ac:dyDescent="0.2">
      <c r="A318" s="30" t="s">
        <v>243</v>
      </c>
      <c r="B318" s="30" t="s">
        <v>2713</v>
      </c>
      <c r="C318" s="30" t="s">
        <v>245</v>
      </c>
      <c r="D318" s="30" t="s">
        <v>245</v>
      </c>
      <c r="E318" s="30" t="s">
        <v>245</v>
      </c>
      <c r="F318" s="30" t="s">
        <v>2714</v>
      </c>
      <c r="G318" s="30" t="s">
        <v>245</v>
      </c>
      <c r="H318" s="30" t="s">
        <v>245</v>
      </c>
      <c r="I318" s="30" t="s">
        <v>2715</v>
      </c>
      <c r="J318" s="30" t="s">
        <v>765</v>
      </c>
      <c r="K318" s="30" t="s">
        <v>245</v>
      </c>
      <c r="L318" s="30" t="s">
        <v>245</v>
      </c>
      <c r="M318" s="30" t="s">
        <v>245</v>
      </c>
      <c r="N318" s="30" t="s">
        <v>245</v>
      </c>
      <c r="O318" s="30" t="s">
        <v>245</v>
      </c>
      <c r="P318" s="30" t="s">
        <v>245</v>
      </c>
      <c r="Q318" s="30" t="s">
        <v>245</v>
      </c>
      <c r="R318" s="30" t="s">
        <v>245</v>
      </c>
      <c r="S318" s="30" t="s">
        <v>245</v>
      </c>
      <c r="T318" s="30" t="s">
        <v>245</v>
      </c>
      <c r="U318" s="30" t="s">
        <v>245</v>
      </c>
      <c r="V318" s="30" t="s">
        <v>245</v>
      </c>
      <c r="W318" s="30" t="s">
        <v>245</v>
      </c>
      <c r="X318" s="30" t="s">
        <v>245</v>
      </c>
      <c r="Y318" s="30" t="s">
        <v>245</v>
      </c>
      <c r="Z318" s="30" t="s">
        <v>245</v>
      </c>
      <c r="AA318" s="30" t="s">
        <v>2716</v>
      </c>
      <c r="AB318" s="30" t="s">
        <v>2717</v>
      </c>
      <c r="AC318" s="30" t="s">
        <v>245</v>
      </c>
      <c r="AD318" s="30" t="s">
        <v>245</v>
      </c>
      <c r="AE318" s="30" t="s">
        <v>245</v>
      </c>
      <c r="AF318" s="30" t="s">
        <v>245</v>
      </c>
      <c r="AG318" s="30" t="s">
        <v>245</v>
      </c>
      <c r="AH318" s="30" t="s">
        <v>245</v>
      </c>
      <c r="AI318" s="30" t="s">
        <v>245</v>
      </c>
      <c r="AJ318" s="30" t="s">
        <v>245</v>
      </c>
      <c r="AK318" s="30" t="s">
        <v>245</v>
      </c>
      <c r="AL318" s="30" t="s">
        <v>245</v>
      </c>
      <c r="AM318" s="30" t="s">
        <v>245</v>
      </c>
      <c r="AN318" s="30" t="s">
        <v>245</v>
      </c>
      <c r="AO318" s="30" t="s">
        <v>768</v>
      </c>
      <c r="AP318" s="30" t="s">
        <v>769</v>
      </c>
      <c r="AQ318" s="30" t="s">
        <v>245</v>
      </c>
      <c r="AR318" s="30" t="s">
        <v>245</v>
      </c>
      <c r="AS318" s="30" t="s">
        <v>245</v>
      </c>
      <c r="AT318" s="30" t="s">
        <v>365</v>
      </c>
      <c r="AU318" s="30">
        <v>2013</v>
      </c>
      <c r="AV318" s="30">
        <v>66</v>
      </c>
      <c r="AW318" s="30" t="s">
        <v>245</v>
      </c>
      <c r="AX318" s="30" t="s">
        <v>245</v>
      </c>
      <c r="AY318" s="30" t="s">
        <v>245</v>
      </c>
      <c r="AZ318" s="30" t="s">
        <v>298</v>
      </c>
      <c r="BA318" s="30" t="s">
        <v>245</v>
      </c>
      <c r="BB318" s="30">
        <v>114</v>
      </c>
      <c r="BC318" s="30">
        <v>122</v>
      </c>
      <c r="BD318" s="30" t="s">
        <v>245</v>
      </c>
      <c r="BE318" s="30" t="s">
        <v>2718</v>
      </c>
      <c r="BF318" s="30" t="str">
        <f>HYPERLINK("http://dx.doi.org/10.1016/j.atmosenv.2012.06.008","http://dx.doi.org/10.1016/j.atmosenv.2012.06.008")</f>
        <v>http://dx.doi.org/10.1016/j.atmosenv.2012.06.008</v>
      </c>
      <c r="BG318" s="30" t="s">
        <v>245</v>
      </c>
      <c r="BH318" s="30" t="s">
        <v>245</v>
      </c>
      <c r="BI318" s="30" t="s">
        <v>245</v>
      </c>
      <c r="BJ318" s="30" t="s">
        <v>245</v>
      </c>
      <c r="BK318" s="30" t="s">
        <v>245</v>
      </c>
      <c r="BL318" s="30" t="s">
        <v>245</v>
      </c>
      <c r="BM318" s="30" t="s">
        <v>245</v>
      </c>
      <c r="BN318" s="30" t="s">
        <v>245</v>
      </c>
      <c r="BO318" s="30" t="s">
        <v>245</v>
      </c>
      <c r="BP318" s="30" t="s">
        <v>245</v>
      </c>
      <c r="BQ318" s="30" t="s">
        <v>245</v>
      </c>
      <c r="BR318" s="30" t="s">
        <v>245</v>
      </c>
      <c r="BS318" s="30" t="s">
        <v>2719</v>
      </c>
      <c r="BT318" s="30" t="str">
        <f>HYPERLINK("https%3A%2F%2Fwww.webofscience.com%2Fwos%2Fwoscc%2Ffull-record%2FWOS:000314016200014","View Full Record in Web of Science")</f>
        <v>View Full Record in Web of Science</v>
      </c>
    </row>
    <row r="319" spans="1:72" x14ac:dyDescent="0.2">
      <c r="A319" s="30" t="s">
        <v>243</v>
      </c>
      <c r="B319" s="30" t="s">
        <v>2720</v>
      </c>
      <c r="C319" s="30" t="s">
        <v>245</v>
      </c>
      <c r="D319" s="30" t="s">
        <v>245</v>
      </c>
      <c r="E319" s="30" t="s">
        <v>245</v>
      </c>
      <c r="F319" s="30" t="s">
        <v>2721</v>
      </c>
      <c r="G319" s="30" t="s">
        <v>245</v>
      </c>
      <c r="H319" s="30" t="s">
        <v>245</v>
      </c>
      <c r="I319" s="30" t="s">
        <v>2722</v>
      </c>
      <c r="J319" s="30" t="s">
        <v>1591</v>
      </c>
      <c r="K319" s="30" t="s">
        <v>245</v>
      </c>
      <c r="L319" s="30" t="s">
        <v>245</v>
      </c>
      <c r="M319" s="30" t="s">
        <v>245</v>
      </c>
      <c r="N319" s="30" t="s">
        <v>245</v>
      </c>
      <c r="O319" s="30" t="s">
        <v>245</v>
      </c>
      <c r="P319" s="30" t="s">
        <v>245</v>
      </c>
      <c r="Q319" s="30" t="s">
        <v>245</v>
      </c>
      <c r="R319" s="30" t="s">
        <v>245</v>
      </c>
      <c r="S319" s="30" t="s">
        <v>245</v>
      </c>
      <c r="T319" s="30" t="s">
        <v>245</v>
      </c>
      <c r="U319" s="30" t="s">
        <v>245</v>
      </c>
      <c r="V319" s="30" t="s">
        <v>245</v>
      </c>
      <c r="W319" s="30" t="s">
        <v>245</v>
      </c>
      <c r="X319" s="30" t="s">
        <v>245</v>
      </c>
      <c r="Y319" s="30" t="s">
        <v>245</v>
      </c>
      <c r="Z319" s="30" t="s">
        <v>245</v>
      </c>
      <c r="AA319" s="30" t="s">
        <v>2723</v>
      </c>
      <c r="AB319" s="30" t="s">
        <v>2724</v>
      </c>
      <c r="AC319" s="30" t="s">
        <v>245</v>
      </c>
      <c r="AD319" s="30" t="s">
        <v>245</v>
      </c>
      <c r="AE319" s="30" t="s">
        <v>245</v>
      </c>
      <c r="AF319" s="30" t="s">
        <v>245</v>
      </c>
      <c r="AG319" s="30" t="s">
        <v>245</v>
      </c>
      <c r="AH319" s="30" t="s">
        <v>245</v>
      </c>
      <c r="AI319" s="30" t="s">
        <v>245</v>
      </c>
      <c r="AJ319" s="30" t="s">
        <v>245</v>
      </c>
      <c r="AK319" s="30" t="s">
        <v>245</v>
      </c>
      <c r="AL319" s="30" t="s">
        <v>245</v>
      </c>
      <c r="AM319" s="30" t="s">
        <v>245</v>
      </c>
      <c r="AN319" s="30" t="s">
        <v>245</v>
      </c>
      <c r="AO319" s="30" t="s">
        <v>1593</v>
      </c>
      <c r="AP319" s="30" t="s">
        <v>1594</v>
      </c>
      <c r="AQ319" s="30" t="s">
        <v>245</v>
      </c>
      <c r="AR319" s="30" t="s">
        <v>245</v>
      </c>
      <c r="AS319" s="30" t="s">
        <v>245</v>
      </c>
      <c r="AT319" s="30" t="s">
        <v>1988</v>
      </c>
      <c r="AU319" s="30">
        <v>2024</v>
      </c>
      <c r="AV319" s="30">
        <v>301</v>
      </c>
      <c r="AW319" s="30" t="s">
        <v>245</v>
      </c>
      <c r="AX319" s="30" t="s">
        <v>245</v>
      </c>
      <c r="AY319" s="30" t="s">
        <v>245</v>
      </c>
      <c r="AZ319" s="30" t="s">
        <v>245</v>
      </c>
      <c r="BA319" s="30" t="s">
        <v>245</v>
      </c>
      <c r="BB319" s="30" t="s">
        <v>245</v>
      </c>
      <c r="BC319" s="30" t="s">
        <v>245</v>
      </c>
      <c r="BD319" s="30">
        <v>108951</v>
      </c>
      <c r="BE319" s="30" t="s">
        <v>2725</v>
      </c>
      <c r="BF319" s="30" t="str">
        <f>HYPERLINK("http://dx.doi.org/10.1016/j.agwat.2024.108951","http://dx.doi.org/10.1016/j.agwat.2024.108951")</f>
        <v>http://dx.doi.org/10.1016/j.agwat.2024.108951</v>
      </c>
      <c r="BG319" s="30" t="s">
        <v>245</v>
      </c>
      <c r="BH319" s="30" t="s">
        <v>718</v>
      </c>
      <c r="BI319" s="30" t="s">
        <v>245</v>
      </c>
      <c r="BJ319" s="30" t="s">
        <v>245</v>
      </c>
      <c r="BK319" s="30" t="s">
        <v>245</v>
      </c>
      <c r="BL319" s="30" t="s">
        <v>245</v>
      </c>
      <c r="BM319" s="30" t="s">
        <v>245</v>
      </c>
      <c r="BN319" s="30" t="s">
        <v>245</v>
      </c>
      <c r="BO319" s="30" t="s">
        <v>245</v>
      </c>
      <c r="BP319" s="30" t="s">
        <v>245</v>
      </c>
      <c r="BQ319" s="30" t="s">
        <v>245</v>
      </c>
      <c r="BR319" s="30" t="s">
        <v>245</v>
      </c>
      <c r="BS319" s="30" t="s">
        <v>2726</v>
      </c>
      <c r="BT319" s="30" t="str">
        <f>HYPERLINK("https%3A%2F%2Fwww.webofscience.com%2Fwos%2Fwoscc%2Ffull-record%2FWOS:001273793400001","View Full Record in Web of Science")</f>
        <v>View Full Record in Web of Science</v>
      </c>
    </row>
    <row r="320" spans="1:72" x14ac:dyDescent="0.2">
      <c r="A320" s="30" t="s">
        <v>243</v>
      </c>
      <c r="B320" s="30" t="s">
        <v>2727</v>
      </c>
      <c r="C320" s="30" t="s">
        <v>245</v>
      </c>
      <c r="D320" s="30" t="s">
        <v>245</v>
      </c>
      <c r="E320" s="30" t="s">
        <v>245</v>
      </c>
      <c r="F320" s="30" t="s">
        <v>2728</v>
      </c>
      <c r="G320" s="30" t="s">
        <v>245</v>
      </c>
      <c r="H320" s="30" t="s">
        <v>245</v>
      </c>
      <c r="I320" s="30" t="s">
        <v>2729</v>
      </c>
      <c r="J320" s="30" t="s">
        <v>641</v>
      </c>
      <c r="K320" s="30" t="s">
        <v>245</v>
      </c>
      <c r="L320" s="30" t="s">
        <v>245</v>
      </c>
      <c r="M320" s="30" t="s">
        <v>245</v>
      </c>
      <c r="N320" s="30" t="s">
        <v>245</v>
      </c>
      <c r="O320" s="30" t="s">
        <v>245</v>
      </c>
      <c r="P320" s="30" t="s">
        <v>245</v>
      </c>
      <c r="Q320" s="30" t="s">
        <v>245</v>
      </c>
      <c r="R320" s="30" t="s">
        <v>245</v>
      </c>
      <c r="S320" s="30" t="s">
        <v>245</v>
      </c>
      <c r="T320" s="30" t="s">
        <v>245</v>
      </c>
      <c r="U320" s="30" t="s">
        <v>245</v>
      </c>
      <c r="V320" s="30" t="s">
        <v>245</v>
      </c>
      <c r="W320" s="30" t="s">
        <v>245</v>
      </c>
      <c r="X320" s="30" t="s">
        <v>245</v>
      </c>
      <c r="Y320" s="30" t="s">
        <v>245</v>
      </c>
      <c r="Z320" s="30" t="s">
        <v>245</v>
      </c>
      <c r="AA320" s="30" t="s">
        <v>2730</v>
      </c>
      <c r="AB320" s="30" t="s">
        <v>2731</v>
      </c>
      <c r="AC320" s="30" t="s">
        <v>245</v>
      </c>
      <c r="AD320" s="30" t="s">
        <v>245</v>
      </c>
      <c r="AE320" s="30" t="s">
        <v>245</v>
      </c>
      <c r="AF320" s="30" t="s">
        <v>245</v>
      </c>
      <c r="AG320" s="30" t="s">
        <v>245</v>
      </c>
      <c r="AH320" s="30" t="s">
        <v>245</v>
      </c>
      <c r="AI320" s="30" t="s">
        <v>245</v>
      </c>
      <c r="AJ320" s="30" t="s">
        <v>245</v>
      </c>
      <c r="AK320" s="30" t="s">
        <v>245</v>
      </c>
      <c r="AL320" s="30" t="s">
        <v>245</v>
      </c>
      <c r="AM320" s="30" t="s">
        <v>245</v>
      </c>
      <c r="AN320" s="30" t="s">
        <v>245</v>
      </c>
      <c r="AO320" s="30" t="s">
        <v>644</v>
      </c>
      <c r="AP320" s="30" t="s">
        <v>645</v>
      </c>
      <c r="AQ320" s="30" t="s">
        <v>245</v>
      </c>
      <c r="AR320" s="30" t="s">
        <v>245</v>
      </c>
      <c r="AS320" s="30" t="s">
        <v>245</v>
      </c>
      <c r="AT320" s="30" t="s">
        <v>841</v>
      </c>
      <c r="AU320" s="30">
        <v>2018</v>
      </c>
      <c r="AV320" s="30">
        <v>47</v>
      </c>
      <c r="AW320" s="30">
        <v>3</v>
      </c>
      <c r="AX320" s="30" t="s">
        <v>245</v>
      </c>
      <c r="AY320" s="30" t="s">
        <v>245</v>
      </c>
      <c r="AZ320" s="30" t="s">
        <v>245</v>
      </c>
      <c r="BA320" s="30" t="s">
        <v>245</v>
      </c>
      <c r="BB320" s="30">
        <v>395</v>
      </c>
      <c r="BC320" s="30">
        <v>409</v>
      </c>
      <c r="BD320" s="30" t="s">
        <v>245</v>
      </c>
      <c r="BE320" s="30" t="s">
        <v>2732</v>
      </c>
      <c r="BF320" s="30" t="str">
        <f>HYPERLINK("http://dx.doi.org/10.2134/jeq2017.11.0445","http://dx.doi.org/10.2134/jeq2017.11.0445")</f>
        <v>http://dx.doi.org/10.2134/jeq2017.11.0445</v>
      </c>
      <c r="BG320" s="30" t="s">
        <v>245</v>
      </c>
      <c r="BH320" s="30" t="s">
        <v>245</v>
      </c>
      <c r="BI320" s="30" t="s">
        <v>245</v>
      </c>
      <c r="BJ320" s="30" t="s">
        <v>245</v>
      </c>
      <c r="BK320" s="30" t="s">
        <v>245</v>
      </c>
      <c r="BL320" s="30" t="s">
        <v>245</v>
      </c>
      <c r="BM320" s="30" t="s">
        <v>245</v>
      </c>
      <c r="BN320" s="30">
        <v>29864188</v>
      </c>
      <c r="BO320" s="30" t="s">
        <v>245</v>
      </c>
      <c r="BP320" s="30" t="s">
        <v>245</v>
      </c>
      <c r="BQ320" s="30" t="s">
        <v>245</v>
      </c>
      <c r="BR320" s="30" t="s">
        <v>245</v>
      </c>
      <c r="BS320" s="30" t="s">
        <v>2733</v>
      </c>
      <c r="BT320" s="30" t="str">
        <f>HYPERLINK("https%3A%2F%2Fwww.webofscience.com%2Fwos%2Fwoscc%2Ffull-record%2FWOS:000445080100001","View Full Record in Web of Science")</f>
        <v>View Full Record in Web of Science</v>
      </c>
    </row>
    <row r="321" spans="1:72" x14ac:dyDescent="0.2">
      <c r="A321" s="30" t="s">
        <v>243</v>
      </c>
      <c r="B321" s="30" t="s">
        <v>2734</v>
      </c>
      <c r="C321" s="30" t="s">
        <v>245</v>
      </c>
      <c r="D321" s="30" t="s">
        <v>245</v>
      </c>
      <c r="E321" s="30" t="s">
        <v>245</v>
      </c>
      <c r="F321" s="30" t="s">
        <v>2735</v>
      </c>
      <c r="G321" s="30" t="s">
        <v>245</v>
      </c>
      <c r="H321" s="30" t="s">
        <v>245</v>
      </c>
      <c r="I321" s="30" t="s">
        <v>2736</v>
      </c>
      <c r="J321" s="30" t="s">
        <v>1804</v>
      </c>
      <c r="K321" s="30" t="s">
        <v>245</v>
      </c>
      <c r="L321" s="30" t="s">
        <v>245</v>
      </c>
      <c r="M321" s="30" t="s">
        <v>245</v>
      </c>
      <c r="N321" s="30" t="s">
        <v>245</v>
      </c>
      <c r="O321" s="30" t="s">
        <v>245</v>
      </c>
      <c r="P321" s="30" t="s">
        <v>245</v>
      </c>
      <c r="Q321" s="30" t="s">
        <v>245</v>
      </c>
      <c r="R321" s="30" t="s">
        <v>245</v>
      </c>
      <c r="S321" s="30" t="s">
        <v>245</v>
      </c>
      <c r="T321" s="30" t="s">
        <v>245</v>
      </c>
      <c r="U321" s="30" t="s">
        <v>245</v>
      </c>
      <c r="V321" s="30" t="s">
        <v>245</v>
      </c>
      <c r="W321" s="30" t="s">
        <v>245</v>
      </c>
      <c r="X321" s="30" t="s">
        <v>245</v>
      </c>
      <c r="Y321" s="30" t="s">
        <v>245</v>
      </c>
      <c r="Z321" s="30" t="s">
        <v>245</v>
      </c>
      <c r="AA321" s="30" t="s">
        <v>245</v>
      </c>
      <c r="AB321" s="30" t="s">
        <v>2737</v>
      </c>
      <c r="AC321" s="30" t="s">
        <v>245</v>
      </c>
      <c r="AD321" s="30" t="s">
        <v>245</v>
      </c>
      <c r="AE321" s="30" t="s">
        <v>245</v>
      </c>
      <c r="AF321" s="30" t="s">
        <v>245</v>
      </c>
      <c r="AG321" s="30" t="s">
        <v>245</v>
      </c>
      <c r="AH321" s="30" t="s">
        <v>245</v>
      </c>
      <c r="AI321" s="30" t="s">
        <v>245</v>
      </c>
      <c r="AJ321" s="30" t="s">
        <v>245</v>
      </c>
      <c r="AK321" s="30" t="s">
        <v>245</v>
      </c>
      <c r="AL321" s="30" t="s">
        <v>245</v>
      </c>
      <c r="AM321" s="30" t="s">
        <v>245</v>
      </c>
      <c r="AN321" s="30" t="s">
        <v>245</v>
      </c>
      <c r="AO321" s="30" t="s">
        <v>1807</v>
      </c>
      <c r="AP321" s="30" t="s">
        <v>245</v>
      </c>
      <c r="AQ321" s="30" t="s">
        <v>245</v>
      </c>
      <c r="AR321" s="30" t="s">
        <v>245</v>
      </c>
      <c r="AS321" s="30" t="s">
        <v>245</v>
      </c>
      <c r="AT321" s="30" t="s">
        <v>1786</v>
      </c>
      <c r="AU321" s="30">
        <v>2020</v>
      </c>
      <c r="AV321" s="30">
        <v>5</v>
      </c>
      <c r="AW321" s="30">
        <v>1</v>
      </c>
      <c r="AX321" s="30" t="s">
        <v>245</v>
      </c>
      <c r="AY321" s="30" t="s">
        <v>245</v>
      </c>
      <c r="AZ321" s="30" t="s">
        <v>245</v>
      </c>
      <c r="BA321" s="30" t="s">
        <v>245</v>
      </c>
      <c r="BB321" s="30" t="s">
        <v>245</v>
      </c>
      <c r="BC321" s="30" t="s">
        <v>245</v>
      </c>
      <c r="BD321" s="30" t="s">
        <v>2738</v>
      </c>
      <c r="BE321" s="30" t="s">
        <v>2739</v>
      </c>
      <c r="BF321" s="30" t="str">
        <f>HYPERLINK("http://dx.doi.org/10.1128/mSystems.00897-19","http://dx.doi.org/10.1128/mSystems.00897-19")</f>
        <v>http://dx.doi.org/10.1128/mSystems.00897-19</v>
      </c>
      <c r="BG321" s="30" t="s">
        <v>245</v>
      </c>
      <c r="BH321" s="30" t="s">
        <v>245</v>
      </c>
      <c r="BI321" s="30" t="s">
        <v>245</v>
      </c>
      <c r="BJ321" s="30" t="s">
        <v>245</v>
      </c>
      <c r="BK321" s="30" t="s">
        <v>245</v>
      </c>
      <c r="BL321" s="30" t="s">
        <v>245</v>
      </c>
      <c r="BM321" s="30" t="s">
        <v>245</v>
      </c>
      <c r="BN321" s="30">
        <v>32071162</v>
      </c>
      <c r="BO321" s="30" t="s">
        <v>245</v>
      </c>
      <c r="BP321" s="30" t="s">
        <v>245</v>
      </c>
      <c r="BQ321" s="30" t="s">
        <v>245</v>
      </c>
      <c r="BR321" s="30" t="s">
        <v>245</v>
      </c>
      <c r="BS321" s="30" t="s">
        <v>2740</v>
      </c>
      <c r="BT321" s="30" t="str">
        <f>HYPERLINK("https%3A%2F%2Fwww.webofscience.com%2Fwos%2Fwoscc%2Ffull-record%2FWOS:000518855000025","View Full Record in Web of Science")</f>
        <v>View Full Record in Web of Science</v>
      </c>
    </row>
    <row r="322" spans="1:72" x14ac:dyDescent="0.2">
      <c r="A322" s="30" t="s">
        <v>243</v>
      </c>
      <c r="B322" s="30" t="s">
        <v>2741</v>
      </c>
      <c r="C322" s="30" t="s">
        <v>245</v>
      </c>
      <c r="D322" s="30" t="s">
        <v>245</v>
      </c>
      <c r="E322" s="30" t="s">
        <v>245</v>
      </c>
      <c r="F322" s="30" t="s">
        <v>2742</v>
      </c>
      <c r="G322" s="30" t="s">
        <v>245</v>
      </c>
      <c r="H322" s="30" t="s">
        <v>245</v>
      </c>
      <c r="I322" s="30" t="s">
        <v>2743</v>
      </c>
      <c r="J322" s="30" t="s">
        <v>1054</v>
      </c>
      <c r="K322" s="30" t="s">
        <v>245</v>
      </c>
      <c r="L322" s="30" t="s">
        <v>245</v>
      </c>
      <c r="M322" s="30" t="s">
        <v>245</v>
      </c>
      <c r="N322" s="30" t="s">
        <v>245</v>
      </c>
      <c r="O322" s="30" t="s">
        <v>245</v>
      </c>
      <c r="P322" s="30" t="s">
        <v>245</v>
      </c>
      <c r="Q322" s="30" t="s">
        <v>245</v>
      </c>
      <c r="R322" s="30" t="s">
        <v>245</v>
      </c>
      <c r="S322" s="30" t="s">
        <v>245</v>
      </c>
      <c r="T322" s="30" t="s">
        <v>245</v>
      </c>
      <c r="U322" s="30" t="s">
        <v>245</v>
      </c>
      <c r="V322" s="30" t="s">
        <v>245</v>
      </c>
      <c r="W322" s="30" t="s">
        <v>245</v>
      </c>
      <c r="X322" s="30" t="s">
        <v>245</v>
      </c>
      <c r="Y322" s="30" t="s">
        <v>245</v>
      </c>
      <c r="Z322" s="30" t="s">
        <v>245</v>
      </c>
      <c r="AA322" s="30" t="s">
        <v>2744</v>
      </c>
      <c r="AB322" s="30" t="s">
        <v>245</v>
      </c>
      <c r="AC322" s="30" t="s">
        <v>245</v>
      </c>
      <c r="AD322" s="30" t="s">
        <v>245</v>
      </c>
      <c r="AE322" s="30" t="s">
        <v>245</v>
      </c>
      <c r="AF322" s="30" t="s">
        <v>245</v>
      </c>
      <c r="AG322" s="30" t="s">
        <v>245</v>
      </c>
      <c r="AH322" s="30" t="s">
        <v>245</v>
      </c>
      <c r="AI322" s="30" t="s">
        <v>245</v>
      </c>
      <c r="AJ322" s="30" t="s">
        <v>245</v>
      </c>
      <c r="AK322" s="30" t="s">
        <v>245</v>
      </c>
      <c r="AL322" s="30" t="s">
        <v>245</v>
      </c>
      <c r="AM322" s="30" t="s">
        <v>245</v>
      </c>
      <c r="AN322" s="30" t="s">
        <v>245</v>
      </c>
      <c r="AO322" s="30" t="s">
        <v>1055</v>
      </c>
      <c r="AP322" s="30" t="s">
        <v>1056</v>
      </c>
      <c r="AQ322" s="30" t="s">
        <v>245</v>
      </c>
      <c r="AR322" s="30" t="s">
        <v>245</v>
      </c>
      <c r="AS322" s="30" t="s">
        <v>245</v>
      </c>
      <c r="AT322" s="30" t="s">
        <v>535</v>
      </c>
      <c r="AU322" s="30">
        <v>2018</v>
      </c>
      <c r="AV322" s="30">
        <v>38</v>
      </c>
      <c r="AW322" s="30">
        <v>4</v>
      </c>
      <c r="AX322" s="30" t="s">
        <v>245</v>
      </c>
      <c r="AY322" s="30" t="s">
        <v>245</v>
      </c>
      <c r="AZ322" s="30" t="s">
        <v>245</v>
      </c>
      <c r="BA322" s="30" t="s">
        <v>245</v>
      </c>
      <c r="BB322" s="30">
        <v>835</v>
      </c>
      <c r="BC322" s="30">
        <v>854</v>
      </c>
      <c r="BD322" s="30" t="s">
        <v>245</v>
      </c>
      <c r="BE322" s="30" t="s">
        <v>2745</v>
      </c>
      <c r="BF322" s="30" t="str">
        <f>HYPERLINK("http://dx.doi.org/10.1007/s13157-018-1035-4","http://dx.doi.org/10.1007/s13157-018-1035-4")</f>
        <v>http://dx.doi.org/10.1007/s13157-018-1035-4</v>
      </c>
      <c r="BG322" s="30" t="s">
        <v>245</v>
      </c>
      <c r="BH322" s="30" t="s">
        <v>245</v>
      </c>
      <c r="BI322" s="30" t="s">
        <v>245</v>
      </c>
      <c r="BJ322" s="30" t="s">
        <v>245</v>
      </c>
      <c r="BK322" s="30" t="s">
        <v>245</v>
      </c>
      <c r="BL322" s="30" t="s">
        <v>245</v>
      </c>
      <c r="BM322" s="30" t="s">
        <v>245</v>
      </c>
      <c r="BN322" s="30" t="s">
        <v>245</v>
      </c>
      <c r="BO322" s="30" t="s">
        <v>245</v>
      </c>
      <c r="BP322" s="30" t="s">
        <v>245</v>
      </c>
      <c r="BQ322" s="30" t="s">
        <v>245</v>
      </c>
      <c r="BR322" s="30" t="s">
        <v>245</v>
      </c>
      <c r="BS322" s="30" t="s">
        <v>2746</v>
      </c>
      <c r="BT322" s="30" t="str">
        <f>HYPERLINK("https%3A%2F%2Fwww.webofscience.com%2Fwos%2Fwoscc%2Ffull-record%2FWOS:000443995000015","View Full Record in Web of Science")</f>
        <v>View Full Record in Web of Science</v>
      </c>
    </row>
    <row r="323" spans="1:72" x14ac:dyDescent="0.2">
      <c r="A323" s="30" t="s">
        <v>243</v>
      </c>
      <c r="B323" s="30" t="s">
        <v>2747</v>
      </c>
      <c r="C323" s="30" t="s">
        <v>245</v>
      </c>
      <c r="D323" s="30" t="s">
        <v>245</v>
      </c>
      <c r="E323" s="30" t="s">
        <v>245</v>
      </c>
      <c r="F323" s="30" t="s">
        <v>2748</v>
      </c>
      <c r="G323" s="30" t="s">
        <v>245</v>
      </c>
      <c r="H323" s="30" t="s">
        <v>245</v>
      </c>
      <c r="I323" s="30" t="s">
        <v>2749</v>
      </c>
      <c r="J323" s="30" t="s">
        <v>2750</v>
      </c>
      <c r="K323" s="30" t="s">
        <v>245</v>
      </c>
      <c r="L323" s="30" t="s">
        <v>245</v>
      </c>
      <c r="M323" s="30" t="s">
        <v>245</v>
      </c>
      <c r="N323" s="30" t="s">
        <v>245</v>
      </c>
      <c r="O323" s="30" t="s">
        <v>245</v>
      </c>
      <c r="P323" s="30" t="s">
        <v>245</v>
      </c>
      <c r="Q323" s="30" t="s">
        <v>245</v>
      </c>
      <c r="R323" s="30" t="s">
        <v>245</v>
      </c>
      <c r="S323" s="30" t="s">
        <v>245</v>
      </c>
      <c r="T323" s="30" t="s">
        <v>245</v>
      </c>
      <c r="U323" s="30" t="s">
        <v>245</v>
      </c>
      <c r="V323" s="30" t="s">
        <v>245</v>
      </c>
      <c r="W323" s="30" t="s">
        <v>245</v>
      </c>
      <c r="X323" s="30" t="s">
        <v>245</v>
      </c>
      <c r="Y323" s="30" t="s">
        <v>245</v>
      </c>
      <c r="Z323" s="30" t="s">
        <v>245</v>
      </c>
      <c r="AA323" s="30" t="s">
        <v>2751</v>
      </c>
      <c r="AB323" s="30" t="s">
        <v>2752</v>
      </c>
      <c r="AC323" s="30" t="s">
        <v>245</v>
      </c>
      <c r="AD323" s="30" t="s">
        <v>245</v>
      </c>
      <c r="AE323" s="30" t="s">
        <v>245</v>
      </c>
      <c r="AF323" s="30" t="s">
        <v>245</v>
      </c>
      <c r="AG323" s="30" t="s">
        <v>245</v>
      </c>
      <c r="AH323" s="30" t="s">
        <v>245</v>
      </c>
      <c r="AI323" s="30" t="s">
        <v>245</v>
      </c>
      <c r="AJ323" s="30" t="s">
        <v>245</v>
      </c>
      <c r="AK323" s="30" t="s">
        <v>245</v>
      </c>
      <c r="AL323" s="30" t="s">
        <v>245</v>
      </c>
      <c r="AM323" s="30" t="s">
        <v>245</v>
      </c>
      <c r="AN323" s="30" t="s">
        <v>245</v>
      </c>
      <c r="AO323" s="30" t="s">
        <v>2753</v>
      </c>
      <c r="AP323" s="30" t="s">
        <v>2754</v>
      </c>
      <c r="AQ323" s="30" t="s">
        <v>245</v>
      </c>
      <c r="AR323" s="30" t="s">
        <v>245</v>
      </c>
      <c r="AS323" s="30" t="s">
        <v>245</v>
      </c>
      <c r="AT323" s="30" t="s">
        <v>487</v>
      </c>
      <c r="AU323" s="30">
        <v>2014</v>
      </c>
      <c r="AV323" s="30">
        <v>37</v>
      </c>
      <c r="AW323" s="30">
        <v>2</v>
      </c>
      <c r="AX323" s="30" t="s">
        <v>245</v>
      </c>
      <c r="AY323" s="30" t="s">
        <v>245</v>
      </c>
      <c r="AZ323" s="30" t="s">
        <v>245</v>
      </c>
      <c r="BA323" s="30" t="s">
        <v>245</v>
      </c>
      <c r="BB323" s="30">
        <v>381</v>
      </c>
      <c r="BC323" s="30">
        <v>398</v>
      </c>
      <c r="BD323" s="30" t="s">
        <v>245</v>
      </c>
      <c r="BE323" s="30" t="s">
        <v>2755</v>
      </c>
      <c r="BF323" s="30" t="str">
        <f>HYPERLINK("http://dx.doi.org/10.1007/s12237-013-9674-4","http://dx.doi.org/10.1007/s12237-013-9674-4")</f>
        <v>http://dx.doi.org/10.1007/s12237-013-9674-4</v>
      </c>
      <c r="BG323" s="30" t="s">
        <v>245</v>
      </c>
      <c r="BH323" s="30" t="s">
        <v>245</v>
      </c>
      <c r="BI323" s="30" t="s">
        <v>245</v>
      </c>
      <c r="BJ323" s="30" t="s">
        <v>245</v>
      </c>
      <c r="BK323" s="30" t="s">
        <v>245</v>
      </c>
      <c r="BL323" s="30" t="s">
        <v>245</v>
      </c>
      <c r="BM323" s="30" t="s">
        <v>245</v>
      </c>
      <c r="BN323" s="30" t="s">
        <v>245</v>
      </c>
      <c r="BO323" s="30" t="s">
        <v>245</v>
      </c>
      <c r="BP323" s="30" t="s">
        <v>245</v>
      </c>
      <c r="BQ323" s="30" t="s">
        <v>245</v>
      </c>
      <c r="BR323" s="30" t="s">
        <v>245</v>
      </c>
      <c r="BS323" s="30" t="s">
        <v>2756</v>
      </c>
      <c r="BT323" s="30" t="str">
        <f>HYPERLINK("https%3A%2F%2Fwww.webofscience.com%2Fwos%2Fwoscc%2Ffull-record%2FWOS:000334170400010","View Full Record in Web of Science")</f>
        <v>View Full Record in Web of Science</v>
      </c>
    </row>
    <row r="324" spans="1:72" x14ac:dyDescent="0.2">
      <c r="A324" s="30" t="s">
        <v>243</v>
      </c>
      <c r="B324" s="30" t="s">
        <v>2757</v>
      </c>
      <c r="C324" s="30" t="s">
        <v>245</v>
      </c>
      <c r="D324" s="30" t="s">
        <v>245</v>
      </c>
      <c r="E324" s="30" t="s">
        <v>245</v>
      </c>
      <c r="F324" s="30" t="s">
        <v>2758</v>
      </c>
      <c r="G324" s="30" t="s">
        <v>245</v>
      </c>
      <c r="H324" s="30" t="s">
        <v>245</v>
      </c>
      <c r="I324" s="30" t="s">
        <v>2759</v>
      </c>
      <c r="J324" s="30" t="s">
        <v>2760</v>
      </c>
      <c r="K324" s="30" t="s">
        <v>245</v>
      </c>
      <c r="L324" s="30" t="s">
        <v>245</v>
      </c>
      <c r="M324" s="30" t="s">
        <v>245</v>
      </c>
      <c r="N324" s="30" t="s">
        <v>245</v>
      </c>
      <c r="O324" s="30" t="s">
        <v>245</v>
      </c>
      <c r="P324" s="30" t="s">
        <v>245</v>
      </c>
      <c r="Q324" s="30" t="s">
        <v>245</v>
      </c>
      <c r="R324" s="30" t="s">
        <v>245</v>
      </c>
      <c r="S324" s="30" t="s">
        <v>245</v>
      </c>
      <c r="T324" s="30" t="s">
        <v>245</v>
      </c>
      <c r="U324" s="30" t="s">
        <v>245</v>
      </c>
      <c r="V324" s="30" t="s">
        <v>245</v>
      </c>
      <c r="W324" s="30" t="s">
        <v>245</v>
      </c>
      <c r="X324" s="30" t="s">
        <v>245</v>
      </c>
      <c r="Y324" s="30" t="s">
        <v>245</v>
      </c>
      <c r="Z324" s="30" t="s">
        <v>245</v>
      </c>
      <c r="AA324" s="30" t="s">
        <v>2761</v>
      </c>
      <c r="AB324" s="30" t="s">
        <v>2762</v>
      </c>
      <c r="AC324" s="30" t="s">
        <v>245</v>
      </c>
      <c r="AD324" s="30" t="s">
        <v>245</v>
      </c>
      <c r="AE324" s="30" t="s">
        <v>245</v>
      </c>
      <c r="AF324" s="30" t="s">
        <v>245</v>
      </c>
      <c r="AG324" s="30" t="s">
        <v>245</v>
      </c>
      <c r="AH324" s="30" t="s">
        <v>245</v>
      </c>
      <c r="AI324" s="30" t="s">
        <v>245</v>
      </c>
      <c r="AJ324" s="30" t="s">
        <v>245</v>
      </c>
      <c r="AK324" s="30" t="s">
        <v>245</v>
      </c>
      <c r="AL324" s="30" t="s">
        <v>245</v>
      </c>
      <c r="AM324" s="30" t="s">
        <v>245</v>
      </c>
      <c r="AN324" s="30" t="s">
        <v>245</v>
      </c>
      <c r="AO324" s="30" t="s">
        <v>2763</v>
      </c>
      <c r="AP324" s="30" t="s">
        <v>2764</v>
      </c>
      <c r="AQ324" s="30" t="s">
        <v>245</v>
      </c>
      <c r="AR324" s="30" t="s">
        <v>245</v>
      </c>
      <c r="AS324" s="30" t="s">
        <v>245</v>
      </c>
      <c r="AT324" s="30" t="s">
        <v>297</v>
      </c>
      <c r="AU324" s="30">
        <v>2013</v>
      </c>
      <c r="AV324" s="30">
        <v>21</v>
      </c>
      <c r="AW324" s="30">
        <v>5</v>
      </c>
      <c r="AX324" s="30" t="s">
        <v>245</v>
      </c>
      <c r="AY324" s="30" t="s">
        <v>245</v>
      </c>
      <c r="AZ324" s="30" t="s">
        <v>245</v>
      </c>
      <c r="BA324" s="30" t="s">
        <v>245</v>
      </c>
      <c r="BB324" s="30">
        <v>323</v>
      </c>
      <c r="BC324" s="30">
        <v>337</v>
      </c>
      <c r="BD324" s="30" t="s">
        <v>245</v>
      </c>
      <c r="BE324" s="30" t="s">
        <v>2765</v>
      </c>
      <c r="BF324" s="30" t="str">
        <f>HYPERLINK("http://dx.doi.org/10.1007/s11273-013-9304-8","http://dx.doi.org/10.1007/s11273-013-9304-8")</f>
        <v>http://dx.doi.org/10.1007/s11273-013-9304-8</v>
      </c>
      <c r="BG324" s="30" t="s">
        <v>245</v>
      </c>
      <c r="BH324" s="30" t="s">
        <v>245</v>
      </c>
      <c r="BI324" s="30" t="s">
        <v>245</v>
      </c>
      <c r="BJ324" s="30" t="s">
        <v>245</v>
      </c>
      <c r="BK324" s="30" t="s">
        <v>245</v>
      </c>
      <c r="BL324" s="30" t="s">
        <v>245</v>
      </c>
      <c r="BM324" s="30" t="s">
        <v>245</v>
      </c>
      <c r="BN324" s="30" t="s">
        <v>245</v>
      </c>
      <c r="BO324" s="30" t="s">
        <v>245</v>
      </c>
      <c r="BP324" s="30" t="s">
        <v>245</v>
      </c>
      <c r="BQ324" s="30" t="s">
        <v>245</v>
      </c>
      <c r="BR324" s="30" t="s">
        <v>245</v>
      </c>
      <c r="BS324" s="30" t="s">
        <v>2766</v>
      </c>
      <c r="BT324" s="30" t="str">
        <f>HYPERLINK("https%3A%2F%2Fwww.webofscience.com%2Fwos%2Fwoscc%2Ffull-record%2FWOS:000325011100003","View Full Record in Web of Science")</f>
        <v>View Full Record in Web of Science</v>
      </c>
    </row>
    <row r="325" spans="1:72" x14ac:dyDescent="0.2">
      <c r="A325" s="30" t="s">
        <v>243</v>
      </c>
      <c r="B325" s="30" t="s">
        <v>2767</v>
      </c>
      <c r="C325" s="30" t="s">
        <v>245</v>
      </c>
      <c r="D325" s="30" t="s">
        <v>245</v>
      </c>
      <c r="E325" s="30" t="s">
        <v>245</v>
      </c>
      <c r="F325" s="30" t="s">
        <v>2768</v>
      </c>
      <c r="G325" s="30" t="s">
        <v>245</v>
      </c>
      <c r="H325" s="30" t="s">
        <v>245</v>
      </c>
      <c r="I325" s="30" t="s">
        <v>2769</v>
      </c>
      <c r="J325" s="30" t="s">
        <v>1015</v>
      </c>
      <c r="K325" s="30" t="s">
        <v>245</v>
      </c>
      <c r="L325" s="30" t="s">
        <v>245</v>
      </c>
      <c r="M325" s="30" t="s">
        <v>245</v>
      </c>
      <c r="N325" s="30" t="s">
        <v>245</v>
      </c>
      <c r="O325" s="30" t="s">
        <v>245</v>
      </c>
      <c r="P325" s="30" t="s">
        <v>245</v>
      </c>
      <c r="Q325" s="30" t="s">
        <v>245</v>
      </c>
      <c r="R325" s="30" t="s">
        <v>245</v>
      </c>
      <c r="S325" s="30" t="s">
        <v>245</v>
      </c>
      <c r="T325" s="30" t="s">
        <v>245</v>
      </c>
      <c r="U325" s="30" t="s">
        <v>245</v>
      </c>
      <c r="V325" s="30" t="s">
        <v>245</v>
      </c>
      <c r="W325" s="30" t="s">
        <v>245</v>
      </c>
      <c r="X325" s="30" t="s">
        <v>245</v>
      </c>
      <c r="Y325" s="30" t="s">
        <v>245</v>
      </c>
      <c r="Z325" s="30" t="s">
        <v>245</v>
      </c>
      <c r="AA325" s="30" t="s">
        <v>2770</v>
      </c>
      <c r="AB325" s="30" t="s">
        <v>2771</v>
      </c>
      <c r="AC325" s="30" t="s">
        <v>245</v>
      </c>
      <c r="AD325" s="30" t="s">
        <v>245</v>
      </c>
      <c r="AE325" s="30" t="s">
        <v>245</v>
      </c>
      <c r="AF325" s="30" t="s">
        <v>245</v>
      </c>
      <c r="AG325" s="30" t="s">
        <v>245</v>
      </c>
      <c r="AH325" s="30" t="s">
        <v>245</v>
      </c>
      <c r="AI325" s="30" t="s">
        <v>245</v>
      </c>
      <c r="AJ325" s="30" t="s">
        <v>245</v>
      </c>
      <c r="AK325" s="30" t="s">
        <v>245</v>
      </c>
      <c r="AL325" s="30" t="s">
        <v>245</v>
      </c>
      <c r="AM325" s="30" t="s">
        <v>245</v>
      </c>
      <c r="AN325" s="30" t="s">
        <v>245</v>
      </c>
      <c r="AO325" s="30" t="s">
        <v>1018</v>
      </c>
      <c r="AP325" s="30" t="s">
        <v>1019</v>
      </c>
      <c r="AQ325" s="30" t="s">
        <v>245</v>
      </c>
      <c r="AR325" s="30" t="s">
        <v>245</v>
      </c>
      <c r="AS325" s="30" t="s">
        <v>245</v>
      </c>
      <c r="AT325" s="30" t="s">
        <v>481</v>
      </c>
      <c r="AU325" s="30">
        <v>2018</v>
      </c>
      <c r="AV325" s="30">
        <v>141</v>
      </c>
      <c r="AW325" s="30">
        <v>3</v>
      </c>
      <c r="AX325" s="30" t="s">
        <v>245</v>
      </c>
      <c r="AY325" s="30" t="s">
        <v>245</v>
      </c>
      <c r="AZ325" s="30" t="s">
        <v>298</v>
      </c>
      <c r="BA325" s="30" t="s">
        <v>245</v>
      </c>
      <c r="BB325" s="30">
        <v>281</v>
      </c>
      <c r="BC325" s="30">
        <v>305</v>
      </c>
      <c r="BD325" s="30" t="s">
        <v>245</v>
      </c>
      <c r="BE325" s="30" t="s">
        <v>2772</v>
      </c>
      <c r="BF325" s="30" t="str">
        <f>HYPERLINK("http://dx.doi.org/10.1007/s10533-018-0502-6","http://dx.doi.org/10.1007/s10533-018-0502-6")</f>
        <v>http://dx.doi.org/10.1007/s10533-018-0502-6</v>
      </c>
      <c r="BG325" s="30" t="s">
        <v>245</v>
      </c>
      <c r="BH325" s="30" t="s">
        <v>245</v>
      </c>
      <c r="BI325" s="30" t="s">
        <v>245</v>
      </c>
      <c r="BJ325" s="30" t="s">
        <v>245</v>
      </c>
      <c r="BK325" s="30" t="s">
        <v>245</v>
      </c>
      <c r="BL325" s="30" t="s">
        <v>245</v>
      </c>
      <c r="BM325" s="30" t="s">
        <v>245</v>
      </c>
      <c r="BN325" s="30">
        <v>31427837</v>
      </c>
      <c r="BO325" s="30" t="s">
        <v>245</v>
      </c>
      <c r="BP325" s="30" t="s">
        <v>245</v>
      </c>
      <c r="BQ325" s="30" t="s">
        <v>245</v>
      </c>
      <c r="BR325" s="30" t="s">
        <v>245</v>
      </c>
      <c r="BS325" s="30" t="s">
        <v>2773</v>
      </c>
      <c r="BT325" s="30" t="str">
        <f>HYPERLINK("https%3A%2F%2Fwww.webofscience.com%2Fwos%2Fwoscc%2Ffull-record%2FWOS:000451259700002","View Full Record in Web of Science")</f>
        <v>View Full Record in Web of Science</v>
      </c>
    </row>
    <row r="326" spans="1:72" x14ac:dyDescent="0.2">
      <c r="A326" s="30" t="s">
        <v>243</v>
      </c>
      <c r="B326" s="30" t="s">
        <v>2774</v>
      </c>
      <c r="C326" s="30" t="s">
        <v>245</v>
      </c>
      <c r="D326" s="30" t="s">
        <v>245</v>
      </c>
      <c r="E326" s="30" t="s">
        <v>245</v>
      </c>
      <c r="F326" s="30" t="s">
        <v>2775</v>
      </c>
      <c r="G326" s="30" t="s">
        <v>245</v>
      </c>
      <c r="H326" s="30" t="s">
        <v>245</v>
      </c>
      <c r="I326" s="30" t="s">
        <v>2776</v>
      </c>
      <c r="J326" s="30" t="s">
        <v>1054</v>
      </c>
      <c r="K326" s="30" t="s">
        <v>245</v>
      </c>
      <c r="L326" s="30" t="s">
        <v>245</v>
      </c>
      <c r="M326" s="30" t="s">
        <v>245</v>
      </c>
      <c r="N326" s="30" t="s">
        <v>245</v>
      </c>
      <c r="O326" s="30" t="s">
        <v>245</v>
      </c>
      <c r="P326" s="30" t="s">
        <v>245</v>
      </c>
      <c r="Q326" s="30" t="s">
        <v>245</v>
      </c>
      <c r="R326" s="30" t="s">
        <v>245</v>
      </c>
      <c r="S326" s="30" t="s">
        <v>245</v>
      </c>
      <c r="T326" s="30" t="s">
        <v>245</v>
      </c>
      <c r="U326" s="30" t="s">
        <v>245</v>
      </c>
      <c r="V326" s="30" t="s">
        <v>245</v>
      </c>
      <c r="W326" s="30" t="s">
        <v>245</v>
      </c>
      <c r="X326" s="30" t="s">
        <v>245</v>
      </c>
      <c r="Y326" s="30" t="s">
        <v>245</v>
      </c>
      <c r="Z326" s="30" t="s">
        <v>245</v>
      </c>
      <c r="AA326" s="30" t="s">
        <v>2777</v>
      </c>
      <c r="AB326" s="30" t="s">
        <v>2778</v>
      </c>
      <c r="AC326" s="30" t="s">
        <v>245</v>
      </c>
      <c r="AD326" s="30" t="s">
        <v>245</v>
      </c>
      <c r="AE326" s="30" t="s">
        <v>245</v>
      </c>
      <c r="AF326" s="30" t="s">
        <v>245</v>
      </c>
      <c r="AG326" s="30" t="s">
        <v>245</v>
      </c>
      <c r="AH326" s="30" t="s">
        <v>245</v>
      </c>
      <c r="AI326" s="30" t="s">
        <v>245</v>
      </c>
      <c r="AJ326" s="30" t="s">
        <v>245</v>
      </c>
      <c r="AK326" s="30" t="s">
        <v>245</v>
      </c>
      <c r="AL326" s="30" t="s">
        <v>245</v>
      </c>
      <c r="AM326" s="30" t="s">
        <v>245</v>
      </c>
      <c r="AN326" s="30" t="s">
        <v>245</v>
      </c>
      <c r="AO326" s="30" t="s">
        <v>1055</v>
      </c>
      <c r="AP326" s="30" t="s">
        <v>1056</v>
      </c>
      <c r="AQ326" s="30" t="s">
        <v>245</v>
      </c>
      <c r="AR326" s="30" t="s">
        <v>245</v>
      </c>
      <c r="AS326" s="30" t="s">
        <v>245</v>
      </c>
      <c r="AT326" s="30" t="s">
        <v>265</v>
      </c>
      <c r="AU326" s="30">
        <v>2014</v>
      </c>
      <c r="AV326" s="30">
        <v>34</v>
      </c>
      <c r="AW326" s="30">
        <v>3</v>
      </c>
      <c r="AX326" s="30" t="s">
        <v>245</v>
      </c>
      <c r="AY326" s="30" t="s">
        <v>245</v>
      </c>
      <c r="AZ326" s="30" t="s">
        <v>245</v>
      </c>
      <c r="BA326" s="30" t="s">
        <v>245</v>
      </c>
      <c r="BB326" s="30">
        <v>593</v>
      </c>
      <c r="BC326" s="30">
        <v>602</v>
      </c>
      <c r="BD326" s="30" t="s">
        <v>245</v>
      </c>
      <c r="BE326" s="30" t="s">
        <v>2779</v>
      </c>
      <c r="BF326" s="30" t="str">
        <f>HYPERLINK("http://dx.doi.org/10.1007/s13157-014-0528-z","http://dx.doi.org/10.1007/s13157-014-0528-z")</f>
        <v>http://dx.doi.org/10.1007/s13157-014-0528-z</v>
      </c>
      <c r="BG326" s="30" t="s">
        <v>245</v>
      </c>
      <c r="BH326" s="30" t="s">
        <v>245</v>
      </c>
      <c r="BI326" s="30" t="s">
        <v>245</v>
      </c>
      <c r="BJ326" s="30" t="s">
        <v>245</v>
      </c>
      <c r="BK326" s="30" t="s">
        <v>245</v>
      </c>
      <c r="BL326" s="30" t="s">
        <v>245</v>
      </c>
      <c r="BM326" s="30" t="s">
        <v>245</v>
      </c>
      <c r="BN326" s="30" t="s">
        <v>245</v>
      </c>
      <c r="BO326" s="30" t="s">
        <v>245</v>
      </c>
      <c r="BP326" s="30" t="s">
        <v>245</v>
      </c>
      <c r="BQ326" s="30" t="s">
        <v>245</v>
      </c>
      <c r="BR326" s="30" t="s">
        <v>245</v>
      </c>
      <c r="BS326" s="30" t="s">
        <v>2780</v>
      </c>
      <c r="BT326" s="30" t="str">
        <f>HYPERLINK("https%3A%2F%2Fwww.webofscience.com%2Fwos%2Fwoscc%2Ffull-record%2FWOS:000336288800018","View Full Record in Web of Science")</f>
        <v>View Full Record in Web of Science</v>
      </c>
    </row>
    <row r="327" spans="1:72" x14ac:dyDescent="0.2">
      <c r="A327" s="30" t="s">
        <v>243</v>
      </c>
      <c r="B327" s="30" t="s">
        <v>2781</v>
      </c>
      <c r="C327" s="30" t="s">
        <v>245</v>
      </c>
      <c r="D327" s="30" t="s">
        <v>245</v>
      </c>
      <c r="E327" s="30" t="s">
        <v>245</v>
      </c>
      <c r="F327" s="30" t="s">
        <v>2781</v>
      </c>
      <c r="G327" s="30" t="s">
        <v>245</v>
      </c>
      <c r="H327" s="30" t="s">
        <v>245</v>
      </c>
      <c r="I327" s="30" t="s">
        <v>2782</v>
      </c>
      <c r="J327" s="30" t="s">
        <v>641</v>
      </c>
      <c r="K327" s="30" t="s">
        <v>245</v>
      </c>
      <c r="L327" s="30" t="s">
        <v>245</v>
      </c>
      <c r="M327" s="30" t="s">
        <v>245</v>
      </c>
      <c r="N327" s="30" t="s">
        <v>245</v>
      </c>
      <c r="O327" s="30" t="s">
        <v>245</v>
      </c>
      <c r="P327" s="30" t="s">
        <v>245</v>
      </c>
      <c r="Q327" s="30" t="s">
        <v>245</v>
      </c>
      <c r="R327" s="30" t="s">
        <v>245</v>
      </c>
      <c r="S327" s="30" t="s">
        <v>245</v>
      </c>
      <c r="T327" s="30" t="s">
        <v>245</v>
      </c>
      <c r="U327" s="30" t="s">
        <v>245</v>
      </c>
      <c r="V327" s="30" t="s">
        <v>245</v>
      </c>
      <c r="W327" s="30" t="s">
        <v>245</v>
      </c>
      <c r="X327" s="30" t="s">
        <v>245</v>
      </c>
      <c r="Y327" s="30" t="s">
        <v>245</v>
      </c>
      <c r="Z327" s="30" t="s">
        <v>245</v>
      </c>
      <c r="AA327" s="30" t="s">
        <v>2783</v>
      </c>
      <c r="AB327" s="30" t="s">
        <v>2784</v>
      </c>
      <c r="AC327" s="30" t="s">
        <v>245</v>
      </c>
      <c r="AD327" s="30" t="s">
        <v>245</v>
      </c>
      <c r="AE327" s="30" t="s">
        <v>245</v>
      </c>
      <c r="AF327" s="30" t="s">
        <v>245</v>
      </c>
      <c r="AG327" s="30" t="s">
        <v>245</v>
      </c>
      <c r="AH327" s="30" t="s">
        <v>245</v>
      </c>
      <c r="AI327" s="30" t="s">
        <v>245</v>
      </c>
      <c r="AJ327" s="30" t="s">
        <v>245</v>
      </c>
      <c r="AK327" s="30" t="s">
        <v>245</v>
      </c>
      <c r="AL327" s="30" t="s">
        <v>245</v>
      </c>
      <c r="AM327" s="30" t="s">
        <v>245</v>
      </c>
      <c r="AN327" s="30" t="s">
        <v>245</v>
      </c>
      <c r="AO327" s="30" t="s">
        <v>644</v>
      </c>
      <c r="AP327" s="30" t="s">
        <v>645</v>
      </c>
      <c r="AQ327" s="30" t="s">
        <v>245</v>
      </c>
      <c r="AR327" s="30" t="s">
        <v>245</v>
      </c>
      <c r="AS327" s="30" t="s">
        <v>245</v>
      </c>
      <c r="AT327" s="30" t="s">
        <v>841</v>
      </c>
      <c r="AU327" s="30">
        <v>2005</v>
      </c>
      <c r="AV327" s="30">
        <v>34</v>
      </c>
      <c r="AW327" s="30">
        <v>3</v>
      </c>
      <c r="AX327" s="30" t="s">
        <v>245</v>
      </c>
      <c r="AY327" s="30" t="s">
        <v>245</v>
      </c>
      <c r="AZ327" s="30" t="s">
        <v>245</v>
      </c>
      <c r="BA327" s="30" t="s">
        <v>245</v>
      </c>
      <c r="BB327" s="30">
        <v>774</v>
      </c>
      <c r="BC327" s="30">
        <v>781</v>
      </c>
      <c r="BD327" s="30" t="s">
        <v>245</v>
      </c>
      <c r="BE327" s="30" t="s">
        <v>2785</v>
      </c>
      <c r="BF327" s="30" t="str">
        <f>HYPERLINK("http://dx.doi.org/10.2134/jeq2004.0388","http://dx.doi.org/10.2134/jeq2004.0388")</f>
        <v>http://dx.doi.org/10.2134/jeq2004.0388</v>
      </c>
      <c r="BG327" s="30" t="s">
        <v>245</v>
      </c>
      <c r="BH327" s="30" t="s">
        <v>245</v>
      </c>
      <c r="BI327" s="30" t="s">
        <v>245</v>
      </c>
      <c r="BJ327" s="30" t="s">
        <v>245</v>
      </c>
      <c r="BK327" s="30" t="s">
        <v>245</v>
      </c>
      <c r="BL327" s="30" t="s">
        <v>245</v>
      </c>
      <c r="BM327" s="30" t="s">
        <v>245</v>
      </c>
      <c r="BN327" s="30">
        <v>15843640</v>
      </c>
      <c r="BO327" s="30" t="s">
        <v>245</v>
      </c>
      <c r="BP327" s="30" t="s">
        <v>245</v>
      </c>
      <c r="BQ327" s="30" t="s">
        <v>245</v>
      </c>
      <c r="BR327" s="30" t="s">
        <v>245</v>
      </c>
      <c r="BS327" s="30" t="s">
        <v>2786</v>
      </c>
      <c r="BT327" s="30" t="str">
        <f>HYPERLINK("https%3A%2F%2Fwww.webofscience.com%2Fwos%2Fwoscc%2Ffull-record%2FWOS:000229265000003","View Full Record in Web of Science")</f>
        <v>View Full Record in Web of Science</v>
      </c>
    </row>
    <row r="328" spans="1:72" x14ac:dyDescent="0.2">
      <c r="A328" s="30" t="s">
        <v>243</v>
      </c>
      <c r="B328" s="30" t="s">
        <v>2787</v>
      </c>
      <c r="C328" s="30" t="s">
        <v>245</v>
      </c>
      <c r="D328" s="30" t="s">
        <v>245</v>
      </c>
      <c r="E328" s="30" t="s">
        <v>245</v>
      </c>
      <c r="F328" s="30" t="s">
        <v>2788</v>
      </c>
      <c r="G328" s="30" t="s">
        <v>245</v>
      </c>
      <c r="H328" s="30" t="s">
        <v>245</v>
      </c>
      <c r="I328" s="30" t="s">
        <v>2789</v>
      </c>
      <c r="J328" s="30" t="s">
        <v>2790</v>
      </c>
      <c r="K328" s="30" t="s">
        <v>245</v>
      </c>
      <c r="L328" s="30" t="s">
        <v>245</v>
      </c>
      <c r="M328" s="30" t="s">
        <v>245</v>
      </c>
      <c r="N328" s="30" t="s">
        <v>245</v>
      </c>
      <c r="O328" s="30" t="s">
        <v>245</v>
      </c>
      <c r="P328" s="30" t="s">
        <v>245</v>
      </c>
      <c r="Q328" s="30" t="s">
        <v>245</v>
      </c>
      <c r="R328" s="30" t="s">
        <v>245</v>
      </c>
      <c r="S328" s="30" t="s">
        <v>245</v>
      </c>
      <c r="T328" s="30" t="s">
        <v>245</v>
      </c>
      <c r="U328" s="30" t="s">
        <v>245</v>
      </c>
      <c r="V328" s="30" t="s">
        <v>245</v>
      </c>
      <c r="W328" s="30" t="s">
        <v>245</v>
      </c>
      <c r="X328" s="30" t="s">
        <v>245</v>
      </c>
      <c r="Y328" s="30" t="s">
        <v>245</v>
      </c>
      <c r="Z328" s="30" t="s">
        <v>245</v>
      </c>
      <c r="AA328" s="30" t="s">
        <v>2791</v>
      </c>
      <c r="AB328" s="30" t="s">
        <v>2792</v>
      </c>
      <c r="AC328" s="30" t="s">
        <v>245</v>
      </c>
      <c r="AD328" s="30" t="s">
        <v>245</v>
      </c>
      <c r="AE328" s="30" t="s">
        <v>245</v>
      </c>
      <c r="AF328" s="30" t="s">
        <v>245</v>
      </c>
      <c r="AG328" s="30" t="s">
        <v>245</v>
      </c>
      <c r="AH328" s="30" t="s">
        <v>245</v>
      </c>
      <c r="AI328" s="30" t="s">
        <v>245</v>
      </c>
      <c r="AJ328" s="30" t="s">
        <v>245</v>
      </c>
      <c r="AK328" s="30" t="s">
        <v>245</v>
      </c>
      <c r="AL328" s="30" t="s">
        <v>245</v>
      </c>
      <c r="AM328" s="30" t="s">
        <v>245</v>
      </c>
      <c r="AN328" s="30" t="s">
        <v>245</v>
      </c>
      <c r="AO328" s="30" t="s">
        <v>2793</v>
      </c>
      <c r="AP328" s="30" t="s">
        <v>2794</v>
      </c>
      <c r="AQ328" s="30" t="s">
        <v>245</v>
      </c>
      <c r="AR328" s="30" t="s">
        <v>245</v>
      </c>
      <c r="AS328" s="30" t="s">
        <v>245</v>
      </c>
      <c r="AT328" s="30" t="s">
        <v>1429</v>
      </c>
      <c r="AU328" s="30">
        <v>2016</v>
      </c>
      <c r="AV328" s="30">
        <v>283</v>
      </c>
      <c r="AW328" s="30">
        <v>1831</v>
      </c>
      <c r="AX328" s="30" t="s">
        <v>245</v>
      </c>
      <c r="AY328" s="30" t="s">
        <v>245</v>
      </c>
      <c r="AZ328" s="30" t="s">
        <v>245</v>
      </c>
      <c r="BA328" s="30" t="s">
        <v>245</v>
      </c>
      <c r="BB328" s="30" t="s">
        <v>245</v>
      </c>
      <c r="BC328" s="30" t="s">
        <v>245</v>
      </c>
      <c r="BD328" s="30">
        <v>20160150</v>
      </c>
      <c r="BE328" s="30" t="s">
        <v>2795</v>
      </c>
      <c r="BF328" s="30" t="str">
        <f>HYPERLINK("http://dx.doi.org/10.1098/rspb.2016.0150","http://dx.doi.org/10.1098/rspb.2016.0150")</f>
        <v>http://dx.doi.org/10.1098/rspb.2016.0150</v>
      </c>
      <c r="BG328" s="30" t="s">
        <v>245</v>
      </c>
      <c r="BH328" s="30" t="s">
        <v>245</v>
      </c>
      <c r="BI328" s="30" t="s">
        <v>245</v>
      </c>
      <c r="BJ328" s="30" t="s">
        <v>245</v>
      </c>
      <c r="BK328" s="30" t="s">
        <v>245</v>
      </c>
      <c r="BL328" s="30" t="s">
        <v>245</v>
      </c>
      <c r="BM328" s="30" t="s">
        <v>245</v>
      </c>
      <c r="BN328" s="30">
        <v>27226475</v>
      </c>
      <c r="BO328" s="30" t="s">
        <v>245</v>
      </c>
      <c r="BP328" s="30" t="s">
        <v>245</v>
      </c>
      <c r="BQ328" s="30" t="s">
        <v>245</v>
      </c>
      <c r="BR328" s="30" t="s">
        <v>245</v>
      </c>
      <c r="BS328" s="30" t="s">
        <v>2796</v>
      </c>
      <c r="BT328" s="30" t="str">
        <f>HYPERLINK("https%3A%2F%2Fwww.webofscience.com%2Fwos%2Fwoscc%2Ffull-record%2FWOS:000378318300003","View Full Record in Web of Science")</f>
        <v>View Full Record in Web of Science</v>
      </c>
    </row>
    <row r="329" spans="1:72" x14ac:dyDescent="0.2">
      <c r="A329" s="30" t="s">
        <v>243</v>
      </c>
      <c r="B329" s="30" t="s">
        <v>2797</v>
      </c>
      <c r="C329" s="30" t="s">
        <v>245</v>
      </c>
      <c r="D329" s="30" t="s">
        <v>245</v>
      </c>
      <c r="E329" s="30" t="s">
        <v>245</v>
      </c>
      <c r="F329" s="30" t="s">
        <v>2798</v>
      </c>
      <c r="G329" s="30" t="s">
        <v>245</v>
      </c>
      <c r="H329" s="30" t="s">
        <v>245</v>
      </c>
      <c r="I329" s="30" t="s">
        <v>2799</v>
      </c>
      <c r="J329" s="30" t="s">
        <v>2800</v>
      </c>
      <c r="K329" s="30" t="s">
        <v>245</v>
      </c>
      <c r="L329" s="30" t="s">
        <v>245</v>
      </c>
      <c r="M329" s="30" t="s">
        <v>245</v>
      </c>
      <c r="N329" s="30" t="s">
        <v>245</v>
      </c>
      <c r="O329" s="30" t="s">
        <v>245</v>
      </c>
      <c r="P329" s="30" t="s">
        <v>245</v>
      </c>
      <c r="Q329" s="30" t="s">
        <v>245</v>
      </c>
      <c r="R329" s="30" t="s">
        <v>245</v>
      </c>
      <c r="S329" s="30" t="s">
        <v>245</v>
      </c>
      <c r="T329" s="30" t="s">
        <v>245</v>
      </c>
      <c r="U329" s="30" t="s">
        <v>245</v>
      </c>
      <c r="V329" s="30" t="s">
        <v>245</v>
      </c>
      <c r="W329" s="30" t="s">
        <v>245</v>
      </c>
      <c r="X329" s="30" t="s">
        <v>245</v>
      </c>
      <c r="Y329" s="30" t="s">
        <v>245</v>
      </c>
      <c r="Z329" s="30" t="s">
        <v>245</v>
      </c>
      <c r="AA329" s="30" t="s">
        <v>2801</v>
      </c>
      <c r="AB329" s="30" t="s">
        <v>2802</v>
      </c>
      <c r="AC329" s="30" t="s">
        <v>245</v>
      </c>
      <c r="AD329" s="30" t="s">
        <v>245</v>
      </c>
      <c r="AE329" s="30" t="s">
        <v>245</v>
      </c>
      <c r="AF329" s="30" t="s">
        <v>245</v>
      </c>
      <c r="AG329" s="30" t="s">
        <v>245</v>
      </c>
      <c r="AH329" s="30" t="s">
        <v>245</v>
      </c>
      <c r="AI329" s="30" t="s">
        <v>245</v>
      </c>
      <c r="AJ329" s="30" t="s">
        <v>245</v>
      </c>
      <c r="AK329" s="30" t="s">
        <v>245</v>
      </c>
      <c r="AL329" s="30" t="s">
        <v>245</v>
      </c>
      <c r="AM329" s="30" t="s">
        <v>245</v>
      </c>
      <c r="AN329" s="30" t="s">
        <v>245</v>
      </c>
      <c r="AO329" s="30" t="s">
        <v>2803</v>
      </c>
      <c r="AP329" s="30" t="s">
        <v>2804</v>
      </c>
      <c r="AQ329" s="30" t="s">
        <v>245</v>
      </c>
      <c r="AR329" s="30" t="s">
        <v>245</v>
      </c>
      <c r="AS329" s="30" t="s">
        <v>245</v>
      </c>
      <c r="AT329" s="30" t="s">
        <v>265</v>
      </c>
      <c r="AU329" s="30">
        <v>2022</v>
      </c>
      <c r="AV329" s="30">
        <v>213</v>
      </c>
      <c r="AW329" s="30" t="s">
        <v>245</v>
      </c>
      <c r="AX329" s="30" t="s">
        <v>245</v>
      </c>
      <c r="AY329" s="30" t="s">
        <v>245</v>
      </c>
      <c r="AZ329" s="30" t="s">
        <v>245</v>
      </c>
      <c r="BA329" s="30" t="s">
        <v>245</v>
      </c>
      <c r="BB329" s="30" t="s">
        <v>245</v>
      </c>
      <c r="BC329" s="30" t="s">
        <v>245</v>
      </c>
      <c r="BD329" s="30">
        <v>106205</v>
      </c>
      <c r="BE329" s="30" t="s">
        <v>2805</v>
      </c>
      <c r="BF329" s="30" t="str">
        <f>HYPERLINK("http://dx.doi.org/10.1016/j.catena.2022.106205","http://dx.doi.org/10.1016/j.catena.2022.106205")</f>
        <v>http://dx.doi.org/10.1016/j.catena.2022.106205</v>
      </c>
      <c r="BG329" s="30" t="s">
        <v>245</v>
      </c>
      <c r="BH329" s="30" t="s">
        <v>427</v>
      </c>
      <c r="BI329" s="30" t="s">
        <v>245</v>
      </c>
      <c r="BJ329" s="30" t="s">
        <v>245</v>
      </c>
      <c r="BK329" s="30" t="s">
        <v>245</v>
      </c>
      <c r="BL329" s="30" t="s">
        <v>245</v>
      </c>
      <c r="BM329" s="30" t="s">
        <v>245</v>
      </c>
      <c r="BN329" s="30" t="s">
        <v>245</v>
      </c>
      <c r="BO329" s="30" t="s">
        <v>245</v>
      </c>
      <c r="BP329" s="30" t="s">
        <v>245</v>
      </c>
      <c r="BQ329" s="30" t="s">
        <v>245</v>
      </c>
      <c r="BR329" s="30" t="s">
        <v>245</v>
      </c>
      <c r="BS329" s="30" t="s">
        <v>2806</v>
      </c>
      <c r="BT329" s="30" t="str">
        <f>HYPERLINK("https%3A%2F%2Fwww.webofscience.com%2Fwos%2Fwoscc%2Ffull-record%2FWOS:000821279600003","View Full Record in Web of Science")</f>
        <v>View Full Record in Web of Science</v>
      </c>
    </row>
    <row r="330" spans="1:72" x14ac:dyDescent="0.2">
      <c r="A330" s="30" t="s">
        <v>2807</v>
      </c>
      <c r="B330" s="30" t="s">
        <v>2222</v>
      </c>
      <c r="C330" s="30" t="s">
        <v>245</v>
      </c>
      <c r="D330" s="30" t="s">
        <v>2808</v>
      </c>
      <c r="E330" s="30" t="s">
        <v>245</v>
      </c>
      <c r="F330" s="30" t="s">
        <v>2809</v>
      </c>
      <c r="G330" s="30" t="s">
        <v>245</v>
      </c>
      <c r="H330" s="30" t="s">
        <v>245</v>
      </c>
      <c r="I330" s="30" t="s">
        <v>2810</v>
      </c>
      <c r="J330" s="30" t="s">
        <v>2811</v>
      </c>
      <c r="K330" s="30" t="s">
        <v>2812</v>
      </c>
      <c r="L330" s="30" t="s">
        <v>245</v>
      </c>
      <c r="M330" s="30" t="s">
        <v>245</v>
      </c>
      <c r="N330" s="30" t="s">
        <v>245</v>
      </c>
      <c r="O330" s="30" t="s">
        <v>245</v>
      </c>
      <c r="P330" s="30" t="s">
        <v>245</v>
      </c>
      <c r="Q330" s="30" t="s">
        <v>245</v>
      </c>
      <c r="R330" s="30" t="s">
        <v>245</v>
      </c>
      <c r="S330" s="30" t="s">
        <v>245</v>
      </c>
      <c r="T330" s="30" t="s">
        <v>245</v>
      </c>
      <c r="U330" s="30" t="s">
        <v>245</v>
      </c>
      <c r="V330" s="30" t="s">
        <v>245</v>
      </c>
      <c r="W330" s="30" t="s">
        <v>245</v>
      </c>
      <c r="X330" s="30" t="s">
        <v>245</v>
      </c>
      <c r="Y330" s="30" t="s">
        <v>245</v>
      </c>
      <c r="Z330" s="30" t="s">
        <v>245</v>
      </c>
      <c r="AA330" s="30" t="s">
        <v>245</v>
      </c>
      <c r="AB330" s="30" t="s">
        <v>245</v>
      </c>
      <c r="AC330" s="30" t="s">
        <v>245</v>
      </c>
      <c r="AD330" s="30" t="s">
        <v>245</v>
      </c>
      <c r="AE330" s="30" t="s">
        <v>245</v>
      </c>
      <c r="AF330" s="30" t="s">
        <v>245</v>
      </c>
      <c r="AG330" s="30" t="s">
        <v>245</v>
      </c>
      <c r="AH330" s="30" t="s">
        <v>245</v>
      </c>
      <c r="AI330" s="30" t="s">
        <v>245</v>
      </c>
      <c r="AJ330" s="30" t="s">
        <v>245</v>
      </c>
      <c r="AK330" s="30" t="s">
        <v>245</v>
      </c>
      <c r="AL330" s="30" t="s">
        <v>245</v>
      </c>
      <c r="AM330" s="30" t="s">
        <v>245</v>
      </c>
      <c r="AN330" s="30" t="s">
        <v>245</v>
      </c>
      <c r="AO330" s="30" t="s">
        <v>2813</v>
      </c>
      <c r="AP330" s="30" t="s">
        <v>245</v>
      </c>
      <c r="AQ330" s="30" t="s">
        <v>2814</v>
      </c>
      <c r="AR330" s="30" t="s">
        <v>245</v>
      </c>
      <c r="AS330" s="30" t="s">
        <v>245</v>
      </c>
      <c r="AT330" s="30" t="s">
        <v>245</v>
      </c>
      <c r="AU330" s="30">
        <v>2007</v>
      </c>
      <c r="AV330" s="30">
        <v>96</v>
      </c>
      <c r="AW330" s="30" t="s">
        <v>245</v>
      </c>
      <c r="AX330" s="30" t="s">
        <v>245</v>
      </c>
      <c r="AY330" s="30" t="s">
        <v>245</v>
      </c>
      <c r="AZ330" s="30" t="s">
        <v>245</v>
      </c>
      <c r="BA330" s="30" t="s">
        <v>245</v>
      </c>
      <c r="BB330" s="30">
        <v>1</v>
      </c>
      <c r="BC330" s="30">
        <v>63</v>
      </c>
      <c r="BD330" s="30" t="s">
        <v>245</v>
      </c>
      <c r="BE330" s="30" t="s">
        <v>2815</v>
      </c>
      <c r="BF330" s="30" t="str">
        <f>HYPERLINK("http://dx.doi.org/10.1016/S0065-2113(07)96005-8","http://dx.doi.org/10.1016/S0065-2113(07)96005-8")</f>
        <v>http://dx.doi.org/10.1016/S0065-2113(07)96005-8</v>
      </c>
      <c r="BG330" s="30" t="s">
        <v>245</v>
      </c>
      <c r="BH330" s="30" t="s">
        <v>245</v>
      </c>
      <c r="BI330" s="30" t="s">
        <v>245</v>
      </c>
      <c r="BJ330" s="30" t="s">
        <v>245</v>
      </c>
      <c r="BK330" s="30" t="s">
        <v>245</v>
      </c>
      <c r="BL330" s="30" t="s">
        <v>245</v>
      </c>
      <c r="BM330" s="30" t="s">
        <v>245</v>
      </c>
      <c r="BN330" s="30" t="s">
        <v>245</v>
      </c>
      <c r="BO330" s="30" t="s">
        <v>245</v>
      </c>
      <c r="BP330" s="30" t="s">
        <v>245</v>
      </c>
      <c r="BQ330" s="30" t="s">
        <v>245</v>
      </c>
      <c r="BR330" s="30" t="s">
        <v>245</v>
      </c>
      <c r="BS330" s="30" t="s">
        <v>2816</v>
      </c>
      <c r="BT330" s="30" t="str">
        <f>HYPERLINK("https%3A%2F%2Fwww.webofscience.com%2Fwos%2Fwoscc%2Ffull-record%2FWOS:000250918000001","View Full Record in Web of Science")</f>
        <v>View Full Record in Web of Science</v>
      </c>
    </row>
  </sheetData>
  <phoneticPr fontId="2" type="noConversion"/>
  <pageMargins left="0.75" right="0.75" top="1" bottom="1" header="0.5" footer="0.5"/>
  <pageSetup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04206E-0B3B-4AFE-8C66-3C6008417ADC}">
  <dimension ref="A1:BV343"/>
  <sheetViews>
    <sheetView topLeftCell="A177" workbookViewId="0">
      <selection activeCell="O344" sqref="O344"/>
    </sheetView>
  </sheetViews>
  <sheetFormatPr defaultRowHeight="12.75" x14ac:dyDescent="0.2"/>
  <cols>
    <col min="1" max="5" width="9" style="30"/>
    <col min="6" max="6" width="23.5" style="30" customWidth="1"/>
    <col min="7" max="8" width="9" style="30"/>
    <col min="9" max="9" width="24.375" style="30" customWidth="1"/>
    <col min="10" max="10" width="22.5" style="30" customWidth="1"/>
    <col min="11" max="11" width="24.875" style="30" customWidth="1"/>
    <col min="12" max="12" width="16.875" style="30" customWidth="1"/>
    <col min="13" max="261" width="9" style="30"/>
    <col min="262" max="262" width="23.5" style="30" customWidth="1"/>
    <col min="263" max="264" width="9" style="30"/>
    <col min="265" max="265" width="24.375" style="30" customWidth="1"/>
    <col min="266" max="266" width="22.5" style="30" customWidth="1"/>
    <col min="267" max="267" width="24.875" style="30" customWidth="1"/>
    <col min="268" max="268" width="16.875" style="30" customWidth="1"/>
    <col min="269" max="517" width="9" style="30"/>
    <col min="518" max="518" width="23.5" style="30" customWidth="1"/>
    <col min="519" max="520" width="9" style="30"/>
    <col min="521" max="521" width="24.375" style="30" customWidth="1"/>
    <col min="522" max="522" width="22.5" style="30" customWidth="1"/>
    <col min="523" max="523" width="24.875" style="30" customWidth="1"/>
    <col min="524" max="524" width="16.875" style="30" customWidth="1"/>
    <col min="525" max="773" width="9" style="30"/>
    <col min="774" max="774" width="23.5" style="30" customWidth="1"/>
    <col min="775" max="776" width="9" style="30"/>
    <col min="777" max="777" width="24.375" style="30" customWidth="1"/>
    <col min="778" max="778" width="22.5" style="30" customWidth="1"/>
    <col min="779" max="779" width="24.875" style="30" customWidth="1"/>
    <col min="780" max="780" width="16.875" style="30" customWidth="1"/>
    <col min="781" max="1029" width="9" style="30"/>
    <col min="1030" max="1030" width="23.5" style="30" customWidth="1"/>
    <col min="1031" max="1032" width="9" style="30"/>
    <col min="1033" max="1033" width="24.375" style="30" customWidth="1"/>
    <col min="1034" max="1034" width="22.5" style="30" customWidth="1"/>
    <col min="1035" max="1035" width="24.875" style="30" customWidth="1"/>
    <col min="1036" max="1036" width="16.875" style="30" customWidth="1"/>
    <col min="1037" max="1285" width="9" style="30"/>
    <col min="1286" max="1286" width="23.5" style="30" customWidth="1"/>
    <col min="1287" max="1288" width="9" style="30"/>
    <col min="1289" max="1289" width="24.375" style="30" customWidth="1"/>
    <col min="1290" max="1290" width="22.5" style="30" customWidth="1"/>
    <col min="1291" max="1291" width="24.875" style="30" customWidth="1"/>
    <col min="1292" max="1292" width="16.875" style="30" customWidth="1"/>
    <col min="1293" max="1541" width="9" style="30"/>
    <col min="1542" max="1542" width="23.5" style="30" customWidth="1"/>
    <col min="1543" max="1544" width="9" style="30"/>
    <col min="1545" max="1545" width="24.375" style="30" customWidth="1"/>
    <col min="1546" max="1546" width="22.5" style="30" customWidth="1"/>
    <col min="1547" max="1547" width="24.875" style="30" customWidth="1"/>
    <col min="1548" max="1548" width="16.875" style="30" customWidth="1"/>
    <col min="1549" max="1797" width="9" style="30"/>
    <col min="1798" max="1798" width="23.5" style="30" customWidth="1"/>
    <col min="1799" max="1800" width="9" style="30"/>
    <col min="1801" max="1801" width="24.375" style="30" customWidth="1"/>
    <col min="1802" max="1802" width="22.5" style="30" customWidth="1"/>
    <col min="1803" max="1803" width="24.875" style="30" customWidth="1"/>
    <col min="1804" max="1804" width="16.875" style="30" customWidth="1"/>
    <col min="1805" max="2053" width="9" style="30"/>
    <col min="2054" max="2054" width="23.5" style="30" customWidth="1"/>
    <col min="2055" max="2056" width="9" style="30"/>
    <col min="2057" max="2057" width="24.375" style="30" customWidth="1"/>
    <col min="2058" max="2058" width="22.5" style="30" customWidth="1"/>
    <col min="2059" max="2059" width="24.875" style="30" customWidth="1"/>
    <col min="2060" max="2060" width="16.875" style="30" customWidth="1"/>
    <col min="2061" max="2309" width="9" style="30"/>
    <col min="2310" max="2310" width="23.5" style="30" customWidth="1"/>
    <col min="2311" max="2312" width="9" style="30"/>
    <col min="2313" max="2313" width="24.375" style="30" customWidth="1"/>
    <col min="2314" max="2314" width="22.5" style="30" customWidth="1"/>
    <col min="2315" max="2315" width="24.875" style="30" customWidth="1"/>
    <col min="2316" max="2316" width="16.875" style="30" customWidth="1"/>
    <col min="2317" max="2565" width="9" style="30"/>
    <col min="2566" max="2566" width="23.5" style="30" customWidth="1"/>
    <col min="2567" max="2568" width="9" style="30"/>
    <col min="2569" max="2569" width="24.375" style="30" customWidth="1"/>
    <col min="2570" max="2570" width="22.5" style="30" customWidth="1"/>
    <col min="2571" max="2571" width="24.875" style="30" customWidth="1"/>
    <col min="2572" max="2572" width="16.875" style="30" customWidth="1"/>
    <col min="2573" max="2821" width="9" style="30"/>
    <col min="2822" max="2822" width="23.5" style="30" customWidth="1"/>
    <col min="2823" max="2824" width="9" style="30"/>
    <col min="2825" max="2825" width="24.375" style="30" customWidth="1"/>
    <col min="2826" max="2826" width="22.5" style="30" customWidth="1"/>
    <col min="2827" max="2827" width="24.875" style="30" customWidth="1"/>
    <col min="2828" max="2828" width="16.875" style="30" customWidth="1"/>
    <col min="2829" max="3077" width="9" style="30"/>
    <col min="3078" max="3078" width="23.5" style="30" customWidth="1"/>
    <col min="3079" max="3080" width="9" style="30"/>
    <col min="3081" max="3081" width="24.375" style="30" customWidth="1"/>
    <col min="3082" max="3082" width="22.5" style="30" customWidth="1"/>
    <col min="3083" max="3083" width="24.875" style="30" customWidth="1"/>
    <col min="3084" max="3084" width="16.875" style="30" customWidth="1"/>
    <col min="3085" max="3333" width="9" style="30"/>
    <col min="3334" max="3334" width="23.5" style="30" customWidth="1"/>
    <col min="3335" max="3336" width="9" style="30"/>
    <col min="3337" max="3337" width="24.375" style="30" customWidth="1"/>
    <col min="3338" max="3338" width="22.5" style="30" customWidth="1"/>
    <col min="3339" max="3339" width="24.875" style="30" customWidth="1"/>
    <col min="3340" max="3340" width="16.875" style="30" customWidth="1"/>
    <col min="3341" max="3589" width="9" style="30"/>
    <col min="3590" max="3590" width="23.5" style="30" customWidth="1"/>
    <col min="3591" max="3592" width="9" style="30"/>
    <col min="3593" max="3593" width="24.375" style="30" customWidth="1"/>
    <col min="3594" max="3594" width="22.5" style="30" customWidth="1"/>
    <col min="3595" max="3595" width="24.875" style="30" customWidth="1"/>
    <col min="3596" max="3596" width="16.875" style="30" customWidth="1"/>
    <col min="3597" max="3845" width="9" style="30"/>
    <col min="3846" max="3846" width="23.5" style="30" customWidth="1"/>
    <col min="3847" max="3848" width="9" style="30"/>
    <col min="3849" max="3849" width="24.375" style="30" customWidth="1"/>
    <col min="3850" max="3850" width="22.5" style="30" customWidth="1"/>
    <col min="3851" max="3851" width="24.875" style="30" customWidth="1"/>
    <col min="3852" max="3852" width="16.875" style="30" customWidth="1"/>
    <col min="3853" max="4101" width="9" style="30"/>
    <col min="4102" max="4102" width="23.5" style="30" customWidth="1"/>
    <col min="4103" max="4104" width="9" style="30"/>
    <col min="4105" max="4105" width="24.375" style="30" customWidth="1"/>
    <col min="4106" max="4106" width="22.5" style="30" customWidth="1"/>
    <col min="4107" max="4107" width="24.875" style="30" customWidth="1"/>
    <col min="4108" max="4108" width="16.875" style="30" customWidth="1"/>
    <col min="4109" max="4357" width="9" style="30"/>
    <col min="4358" max="4358" width="23.5" style="30" customWidth="1"/>
    <col min="4359" max="4360" width="9" style="30"/>
    <col min="4361" max="4361" width="24.375" style="30" customWidth="1"/>
    <col min="4362" max="4362" width="22.5" style="30" customWidth="1"/>
    <col min="4363" max="4363" width="24.875" style="30" customWidth="1"/>
    <col min="4364" max="4364" width="16.875" style="30" customWidth="1"/>
    <col min="4365" max="4613" width="9" style="30"/>
    <col min="4614" max="4614" width="23.5" style="30" customWidth="1"/>
    <col min="4615" max="4616" width="9" style="30"/>
    <col min="4617" max="4617" width="24.375" style="30" customWidth="1"/>
    <col min="4618" max="4618" width="22.5" style="30" customWidth="1"/>
    <col min="4619" max="4619" width="24.875" style="30" customWidth="1"/>
    <col min="4620" max="4620" width="16.875" style="30" customWidth="1"/>
    <col min="4621" max="4869" width="9" style="30"/>
    <col min="4870" max="4870" width="23.5" style="30" customWidth="1"/>
    <col min="4871" max="4872" width="9" style="30"/>
    <col min="4873" max="4873" width="24.375" style="30" customWidth="1"/>
    <col min="4874" max="4874" width="22.5" style="30" customWidth="1"/>
    <col min="4875" max="4875" width="24.875" style="30" customWidth="1"/>
    <col min="4876" max="4876" width="16.875" style="30" customWidth="1"/>
    <col min="4877" max="5125" width="9" style="30"/>
    <col min="5126" max="5126" width="23.5" style="30" customWidth="1"/>
    <col min="5127" max="5128" width="9" style="30"/>
    <col min="5129" max="5129" width="24.375" style="30" customWidth="1"/>
    <col min="5130" max="5130" width="22.5" style="30" customWidth="1"/>
    <col min="5131" max="5131" width="24.875" style="30" customWidth="1"/>
    <col min="5132" max="5132" width="16.875" style="30" customWidth="1"/>
    <col min="5133" max="5381" width="9" style="30"/>
    <col min="5382" max="5382" width="23.5" style="30" customWidth="1"/>
    <col min="5383" max="5384" width="9" style="30"/>
    <col min="5385" max="5385" width="24.375" style="30" customWidth="1"/>
    <col min="5386" max="5386" width="22.5" style="30" customWidth="1"/>
    <col min="5387" max="5387" width="24.875" style="30" customWidth="1"/>
    <col min="5388" max="5388" width="16.875" style="30" customWidth="1"/>
    <col min="5389" max="5637" width="9" style="30"/>
    <col min="5638" max="5638" width="23.5" style="30" customWidth="1"/>
    <col min="5639" max="5640" width="9" style="30"/>
    <col min="5641" max="5641" width="24.375" style="30" customWidth="1"/>
    <col min="5642" max="5642" width="22.5" style="30" customWidth="1"/>
    <col min="5643" max="5643" width="24.875" style="30" customWidth="1"/>
    <col min="5644" max="5644" width="16.875" style="30" customWidth="1"/>
    <col min="5645" max="5893" width="9" style="30"/>
    <col min="5894" max="5894" width="23.5" style="30" customWidth="1"/>
    <col min="5895" max="5896" width="9" style="30"/>
    <col min="5897" max="5897" width="24.375" style="30" customWidth="1"/>
    <col min="5898" max="5898" width="22.5" style="30" customWidth="1"/>
    <col min="5899" max="5899" width="24.875" style="30" customWidth="1"/>
    <col min="5900" max="5900" width="16.875" style="30" customWidth="1"/>
    <col min="5901" max="6149" width="9" style="30"/>
    <col min="6150" max="6150" width="23.5" style="30" customWidth="1"/>
    <col min="6151" max="6152" width="9" style="30"/>
    <col min="6153" max="6153" width="24.375" style="30" customWidth="1"/>
    <col min="6154" max="6154" width="22.5" style="30" customWidth="1"/>
    <col min="6155" max="6155" width="24.875" style="30" customWidth="1"/>
    <col min="6156" max="6156" width="16.875" style="30" customWidth="1"/>
    <col min="6157" max="6405" width="9" style="30"/>
    <col min="6406" max="6406" width="23.5" style="30" customWidth="1"/>
    <col min="6407" max="6408" width="9" style="30"/>
    <col min="6409" max="6409" width="24.375" style="30" customWidth="1"/>
    <col min="6410" max="6410" width="22.5" style="30" customWidth="1"/>
    <col min="6411" max="6411" width="24.875" style="30" customWidth="1"/>
    <col min="6412" max="6412" width="16.875" style="30" customWidth="1"/>
    <col min="6413" max="6661" width="9" style="30"/>
    <col min="6662" max="6662" width="23.5" style="30" customWidth="1"/>
    <col min="6663" max="6664" width="9" style="30"/>
    <col min="6665" max="6665" width="24.375" style="30" customWidth="1"/>
    <col min="6666" max="6666" width="22.5" style="30" customWidth="1"/>
    <col min="6667" max="6667" width="24.875" style="30" customWidth="1"/>
    <col min="6668" max="6668" width="16.875" style="30" customWidth="1"/>
    <col min="6669" max="6917" width="9" style="30"/>
    <col min="6918" max="6918" width="23.5" style="30" customWidth="1"/>
    <col min="6919" max="6920" width="9" style="30"/>
    <col min="6921" max="6921" width="24.375" style="30" customWidth="1"/>
    <col min="6922" max="6922" width="22.5" style="30" customWidth="1"/>
    <col min="6923" max="6923" width="24.875" style="30" customWidth="1"/>
    <col min="6924" max="6924" width="16.875" style="30" customWidth="1"/>
    <col min="6925" max="7173" width="9" style="30"/>
    <col min="7174" max="7174" width="23.5" style="30" customWidth="1"/>
    <col min="7175" max="7176" width="9" style="30"/>
    <col min="7177" max="7177" width="24.375" style="30" customWidth="1"/>
    <col min="7178" max="7178" width="22.5" style="30" customWidth="1"/>
    <col min="7179" max="7179" width="24.875" style="30" customWidth="1"/>
    <col min="7180" max="7180" width="16.875" style="30" customWidth="1"/>
    <col min="7181" max="7429" width="9" style="30"/>
    <col min="7430" max="7430" width="23.5" style="30" customWidth="1"/>
    <col min="7431" max="7432" width="9" style="30"/>
    <col min="7433" max="7433" width="24.375" style="30" customWidth="1"/>
    <col min="7434" max="7434" width="22.5" style="30" customWidth="1"/>
    <col min="7435" max="7435" width="24.875" style="30" customWidth="1"/>
    <col min="7436" max="7436" width="16.875" style="30" customWidth="1"/>
    <col min="7437" max="7685" width="9" style="30"/>
    <col min="7686" max="7686" width="23.5" style="30" customWidth="1"/>
    <col min="7687" max="7688" width="9" style="30"/>
    <col min="7689" max="7689" width="24.375" style="30" customWidth="1"/>
    <col min="7690" max="7690" width="22.5" style="30" customWidth="1"/>
    <col min="7691" max="7691" width="24.875" style="30" customWidth="1"/>
    <col min="7692" max="7692" width="16.875" style="30" customWidth="1"/>
    <col min="7693" max="7941" width="9" style="30"/>
    <col min="7942" max="7942" width="23.5" style="30" customWidth="1"/>
    <col min="7943" max="7944" width="9" style="30"/>
    <col min="7945" max="7945" width="24.375" style="30" customWidth="1"/>
    <col min="7946" max="7946" width="22.5" style="30" customWidth="1"/>
    <col min="7947" max="7947" width="24.875" style="30" customWidth="1"/>
    <col min="7948" max="7948" width="16.875" style="30" customWidth="1"/>
    <col min="7949" max="8197" width="9" style="30"/>
    <col min="8198" max="8198" width="23.5" style="30" customWidth="1"/>
    <col min="8199" max="8200" width="9" style="30"/>
    <col min="8201" max="8201" width="24.375" style="30" customWidth="1"/>
    <col min="8202" max="8202" width="22.5" style="30" customWidth="1"/>
    <col min="8203" max="8203" width="24.875" style="30" customWidth="1"/>
    <col min="8204" max="8204" width="16.875" style="30" customWidth="1"/>
    <col min="8205" max="8453" width="9" style="30"/>
    <col min="8454" max="8454" width="23.5" style="30" customWidth="1"/>
    <col min="8455" max="8456" width="9" style="30"/>
    <col min="8457" max="8457" width="24.375" style="30" customWidth="1"/>
    <col min="8458" max="8458" width="22.5" style="30" customWidth="1"/>
    <col min="8459" max="8459" width="24.875" style="30" customWidth="1"/>
    <col min="8460" max="8460" width="16.875" style="30" customWidth="1"/>
    <col min="8461" max="8709" width="9" style="30"/>
    <col min="8710" max="8710" width="23.5" style="30" customWidth="1"/>
    <col min="8711" max="8712" width="9" style="30"/>
    <col min="8713" max="8713" width="24.375" style="30" customWidth="1"/>
    <col min="8714" max="8714" width="22.5" style="30" customWidth="1"/>
    <col min="8715" max="8715" width="24.875" style="30" customWidth="1"/>
    <col min="8716" max="8716" width="16.875" style="30" customWidth="1"/>
    <col min="8717" max="8965" width="9" style="30"/>
    <col min="8966" max="8966" width="23.5" style="30" customWidth="1"/>
    <col min="8967" max="8968" width="9" style="30"/>
    <col min="8969" max="8969" width="24.375" style="30" customWidth="1"/>
    <col min="8970" max="8970" width="22.5" style="30" customWidth="1"/>
    <col min="8971" max="8971" width="24.875" style="30" customWidth="1"/>
    <col min="8972" max="8972" width="16.875" style="30" customWidth="1"/>
    <col min="8973" max="9221" width="9" style="30"/>
    <col min="9222" max="9222" width="23.5" style="30" customWidth="1"/>
    <col min="9223" max="9224" width="9" style="30"/>
    <col min="9225" max="9225" width="24.375" style="30" customWidth="1"/>
    <col min="9226" max="9226" width="22.5" style="30" customWidth="1"/>
    <col min="9227" max="9227" width="24.875" style="30" customWidth="1"/>
    <col min="9228" max="9228" width="16.875" style="30" customWidth="1"/>
    <col min="9229" max="9477" width="9" style="30"/>
    <col min="9478" max="9478" width="23.5" style="30" customWidth="1"/>
    <col min="9479" max="9480" width="9" style="30"/>
    <col min="9481" max="9481" width="24.375" style="30" customWidth="1"/>
    <col min="9482" max="9482" width="22.5" style="30" customWidth="1"/>
    <col min="9483" max="9483" width="24.875" style="30" customWidth="1"/>
    <col min="9484" max="9484" width="16.875" style="30" customWidth="1"/>
    <col min="9485" max="9733" width="9" style="30"/>
    <col min="9734" max="9734" width="23.5" style="30" customWidth="1"/>
    <col min="9735" max="9736" width="9" style="30"/>
    <col min="9737" max="9737" width="24.375" style="30" customWidth="1"/>
    <col min="9738" max="9738" width="22.5" style="30" customWidth="1"/>
    <col min="9739" max="9739" width="24.875" style="30" customWidth="1"/>
    <col min="9740" max="9740" width="16.875" style="30" customWidth="1"/>
    <col min="9741" max="9989" width="9" style="30"/>
    <col min="9990" max="9990" width="23.5" style="30" customWidth="1"/>
    <col min="9991" max="9992" width="9" style="30"/>
    <col min="9993" max="9993" width="24.375" style="30" customWidth="1"/>
    <col min="9994" max="9994" width="22.5" style="30" customWidth="1"/>
    <col min="9995" max="9995" width="24.875" style="30" customWidth="1"/>
    <col min="9996" max="9996" width="16.875" style="30" customWidth="1"/>
    <col min="9997" max="10245" width="9" style="30"/>
    <col min="10246" max="10246" width="23.5" style="30" customWidth="1"/>
    <col min="10247" max="10248" width="9" style="30"/>
    <col min="10249" max="10249" width="24.375" style="30" customWidth="1"/>
    <col min="10250" max="10250" width="22.5" style="30" customWidth="1"/>
    <col min="10251" max="10251" width="24.875" style="30" customWidth="1"/>
    <col min="10252" max="10252" width="16.875" style="30" customWidth="1"/>
    <col min="10253" max="10501" width="9" style="30"/>
    <col min="10502" max="10502" width="23.5" style="30" customWidth="1"/>
    <col min="10503" max="10504" width="9" style="30"/>
    <col min="10505" max="10505" width="24.375" style="30" customWidth="1"/>
    <col min="10506" max="10506" width="22.5" style="30" customWidth="1"/>
    <col min="10507" max="10507" width="24.875" style="30" customWidth="1"/>
    <col min="10508" max="10508" width="16.875" style="30" customWidth="1"/>
    <col min="10509" max="10757" width="9" style="30"/>
    <col min="10758" max="10758" width="23.5" style="30" customWidth="1"/>
    <col min="10759" max="10760" width="9" style="30"/>
    <col min="10761" max="10761" width="24.375" style="30" customWidth="1"/>
    <col min="10762" max="10762" width="22.5" style="30" customWidth="1"/>
    <col min="10763" max="10763" width="24.875" style="30" customWidth="1"/>
    <col min="10764" max="10764" width="16.875" style="30" customWidth="1"/>
    <col min="10765" max="11013" width="9" style="30"/>
    <col min="11014" max="11014" width="23.5" style="30" customWidth="1"/>
    <col min="11015" max="11016" width="9" style="30"/>
    <col min="11017" max="11017" width="24.375" style="30" customWidth="1"/>
    <col min="11018" max="11018" width="22.5" style="30" customWidth="1"/>
    <col min="11019" max="11019" width="24.875" style="30" customWidth="1"/>
    <col min="11020" max="11020" width="16.875" style="30" customWidth="1"/>
    <col min="11021" max="11269" width="9" style="30"/>
    <col min="11270" max="11270" width="23.5" style="30" customWidth="1"/>
    <col min="11271" max="11272" width="9" style="30"/>
    <col min="11273" max="11273" width="24.375" style="30" customWidth="1"/>
    <col min="11274" max="11274" width="22.5" style="30" customWidth="1"/>
    <col min="11275" max="11275" width="24.875" style="30" customWidth="1"/>
    <col min="11276" max="11276" width="16.875" style="30" customWidth="1"/>
    <col min="11277" max="11525" width="9" style="30"/>
    <col min="11526" max="11526" width="23.5" style="30" customWidth="1"/>
    <col min="11527" max="11528" width="9" style="30"/>
    <col min="11529" max="11529" width="24.375" style="30" customWidth="1"/>
    <col min="11530" max="11530" width="22.5" style="30" customWidth="1"/>
    <col min="11531" max="11531" width="24.875" style="30" customWidth="1"/>
    <col min="11532" max="11532" width="16.875" style="30" customWidth="1"/>
    <col min="11533" max="11781" width="9" style="30"/>
    <col min="11782" max="11782" width="23.5" style="30" customWidth="1"/>
    <col min="11783" max="11784" width="9" style="30"/>
    <col min="11785" max="11785" width="24.375" style="30" customWidth="1"/>
    <col min="11786" max="11786" width="22.5" style="30" customWidth="1"/>
    <col min="11787" max="11787" width="24.875" style="30" customWidth="1"/>
    <col min="11788" max="11788" width="16.875" style="30" customWidth="1"/>
    <col min="11789" max="12037" width="9" style="30"/>
    <col min="12038" max="12038" width="23.5" style="30" customWidth="1"/>
    <col min="12039" max="12040" width="9" style="30"/>
    <col min="12041" max="12041" width="24.375" style="30" customWidth="1"/>
    <col min="12042" max="12042" width="22.5" style="30" customWidth="1"/>
    <col min="12043" max="12043" width="24.875" style="30" customWidth="1"/>
    <col min="12044" max="12044" width="16.875" style="30" customWidth="1"/>
    <col min="12045" max="12293" width="9" style="30"/>
    <col min="12294" max="12294" width="23.5" style="30" customWidth="1"/>
    <col min="12295" max="12296" width="9" style="30"/>
    <col min="12297" max="12297" width="24.375" style="30" customWidth="1"/>
    <col min="12298" max="12298" width="22.5" style="30" customWidth="1"/>
    <col min="12299" max="12299" width="24.875" style="30" customWidth="1"/>
    <col min="12300" max="12300" width="16.875" style="30" customWidth="1"/>
    <col min="12301" max="12549" width="9" style="30"/>
    <col min="12550" max="12550" width="23.5" style="30" customWidth="1"/>
    <col min="12551" max="12552" width="9" style="30"/>
    <col min="12553" max="12553" width="24.375" style="30" customWidth="1"/>
    <col min="12554" max="12554" width="22.5" style="30" customWidth="1"/>
    <col min="12555" max="12555" width="24.875" style="30" customWidth="1"/>
    <col min="12556" max="12556" width="16.875" style="30" customWidth="1"/>
    <col min="12557" max="12805" width="9" style="30"/>
    <col min="12806" max="12806" width="23.5" style="30" customWidth="1"/>
    <col min="12807" max="12808" width="9" style="30"/>
    <col min="12809" max="12809" width="24.375" style="30" customWidth="1"/>
    <col min="12810" max="12810" width="22.5" style="30" customWidth="1"/>
    <col min="12811" max="12811" width="24.875" style="30" customWidth="1"/>
    <col min="12812" max="12812" width="16.875" style="30" customWidth="1"/>
    <col min="12813" max="13061" width="9" style="30"/>
    <col min="13062" max="13062" width="23.5" style="30" customWidth="1"/>
    <col min="13063" max="13064" width="9" style="30"/>
    <col min="13065" max="13065" width="24.375" style="30" customWidth="1"/>
    <col min="13066" max="13066" width="22.5" style="30" customWidth="1"/>
    <col min="13067" max="13067" width="24.875" style="30" customWidth="1"/>
    <col min="13068" max="13068" width="16.875" style="30" customWidth="1"/>
    <col min="13069" max="13317" width="9" style="30"/>
    <col min="13318" max="13318" width="23.5" style="30" customWidth="1"/>
    <col min="13319" max="13320" width="9" style="30"/>
    <col min="13321" max="13321" width="24.375" style="30" customWidth="1"/>
    <col min="13322" max="13322" width="22.5" style="30" customWidth="1"/>
    <col min="13323" max="13323" width="24.875" style="30" customWidth="1"/>
    <col min="13324" max="13324" width="16.875" style="30" customWidth="1"/>
    <col min="13325" max="13573" width="9" style="30"/>
    <col min="13574" max="13574" width="23.5" style="30" customWidth="1"/>
    <col min="13575" max="13576" width="9" style="30"/>
    <col min="13577" max="13577" width="24.375" style="30" customWidth="1"/>
    <col min="13578" max="13578" width="22.5" style="30" customWidth="1"/>
    <col min="13579" max="13579" width="24.875" style="30" customWidth="1"/>
    <col min="13580" max="13580" width="16.875" style="30" customWidth="1"/>
    <col min="13581" max="13829" width="9" style="30"/>
    <col min="13830" max="13830" width="23.5" style="30" customWidth="1"/>
    <col min="13831" max="13832" width="9" style="30"/>
    <col min="13833" max="13833" width="24.375" style="30" customWidth="1"/>
    <col min="13834" max="13834" width="22.5" style="30" customWidth="1"/>
    <col min="13835" max="13835" width="24.875" style="30" customWidth="1"/>
    <col min="13836" max="13836" width="16.875" style="30" customWidth="1"/>
    <col min="13837" max="14085" width="9" style="30"/>
    <col min="14086" max="14086" width="23.5" style="30" customWidth="1"/>
    <col min="14087" max="14088" width="9" style="30"/>
    <col min="14089" max="14089" width="24.375" style="30" customWidth="1"/>
    <col min="14090" max="14090" width="22.5" style="30" customWidth="1"/>
    <col min="14091" max="14091" width="24.875" style="30" customWidth="1"/>
    <col min="14092" max="14092" width="16.875" style="30" customWidth="1"/>
    <col min="14093" max="14341" width="9" style="30"/>
    <col min="14342" max="14342" width="23.5" style="30" customWidth="1"/>
    <col min="14343" max="14344" width="9" style="30"/>
    <col min="14345" max="14345" width="24.375" style="30" customWidth="1"/>
    <col min="14346" max="14346" width="22.5" style="30" customWidth="1"/>
    <col min="14347" max="14347" width="24.875" style="30" customWidth="1"/>
    <col min="14348" max="14348" width="16.875" style="30" customWidth="1"/>
    <col min="14349" max="14597" width="9" style="30"/>
    <col min="14598" max="14598" width="23.5" style="30" customWidth="1"/>
    <col min="14599" max="14600" width="9" style="30"/>
    <col min="14601" max="14601" width="24.375" style="30" customWidth="1"/>
    <col min="14602" max="14602" width="22.5" style="30" customWidth="1"/>
    <col min="14603" max="14603" width="24.875" style="30" customWidth="1"/>
    <col min="14604" max="14604" width="16.875" style="30" customWidth="1"/>
    <col min="14605" max="14853" width="9" style="30"/>
    <col min="14854" max="14854" width="23.5" style="30" customWidth="1"/>
    <col min="14855" max="14856" width="9" style="30"/>
    <col min="14857" max="14857" width="24.375" style="30" customWidth="1"/>
    <col min="14858" max="14858" width="22.5" style="30" customWidth="1"/>
    <col min="14859" max="14859" width="24.875" style="30" customWidth="1"/>
    <col min="14860" max="14860" width="16.875" style="30" customWidth="1"/>
    <col min="14861" max="15109" width="9" style="30"/>
    <col min="15110" max="15110" width="23.5" style="30" customWidth="1"/>
    <col min="15111" max="15112" width="9" style="30"/>
    <col min="15113" max="15113" width="24.375" style="30" customWidth="1"/>
    <col min="15114" max="15114" width="22.5" style="30" customWidth="1"/>
    <col min="15115" max="15115" width="24.875" style="30" customWidth="1"/>
    <col min="15116" max="15116" width="16.875" style="30" customWidth="1"/>
    <col min="15117" max="15365" width="9" style="30"/>
    <col min="15366" max="15366" width="23.5" style="30" customWidth="1"/>
    <col min="15367" max="15368" width="9" style="30"/>
    <col min="15369" max="15369" width="24.375" style="30" customWidth="1"/>
    <col min="15370" max="15370" width="22.5" style="30" customWidth="1"/>
    <col min="15371" max="15371" width="24.875" style="30" customWidth="1"/>
    <col min="15372" max="15372" width="16.875" style="30" customWidth="1"/>
    <col min="15373" max="15621" width="9" style="30"/>
    <col min="15622" max="15622" width="23.5" style="30" customWidth="1"/>
    <col min="15623" max="15624" width="9" style="30"/>
    <col min="15625" max="15625" width="24.375" style="30" customWidth="1"/>
    <col min="15626" max="15626" width="22.5" style="30" customWidth="1"/>
    <col min="15627" max="15627" width="24.875" style="30" customWidth="1"/>
    <col min="15628" max="15628" width="16.875" style="30" customWidth="1"/>
    <col min="15629" max="15877" width="9" style="30"/>
    <col min="15878" max="15878" width="23.5" style="30" customWidth="1"/>
    <col min="15879" max="15880" width="9" style="30"/>
    <col min="15881" max="15881" width="24.375" style="30" customWidth="1"/>
    <col min="15882" max="15882" width="22.5" style="30" customWidth="1"/>
    <col min="15883" max="15883" width="24.875" style="30" customWidth="1"/>
    <col min="15884" max="15884" width="16.875" style="30" customWidth="1"/>
    <col min="15885" max="16133" width="9" style="30"/>
    <col min="16134" max="16134" width="23.5" style="30" customWidth="1"/>
    <col min="16135" max="16136" width="9" style="30"/>
    <col min="16137" max="16137" width="24.375" style="30" customWidth="1"/>
    <col min="16138" max="16138" width="22.5" style="30" customWidth="1"/>
    <col min="16139" max="16139" width="24.875" style="30" customWidth="1"/>
    <col min="16140" max="16140" width="16.875" style="30" customWidth="1"/>
    <col min="16141" max="16384" width="9" style="30"/>
  </cols>
  <sheetData>
    <row r="1" spans="1:74" x14ac:dyDescent="0.2">
      <c r="A1" s="30" t="s">
        <v>171</v>
      </c>
      <c r="B1" s="30" t="s">
        <v>172</v>
      </c>
      <c r="C1" s="30" t="s">
        <v>173</v>
      </c>
      <c r="D1" s="30" t="s">
        <v>174</v>
      </c>
      <c r="E1" s="30" t="s">
        <v>175</v>
      </c>
      <c r="F1" s="30" t="s">
        <v>176</v>
      </c>
      <c r="G1" s="30" t="s">
        <v>177</v>
      </c>
      <c r="H1" s="30" t="s">
        <v>178</v>
      </c>
      <c r="I1" s="31" t="s">
        <v>2817</v>
      </c>
      <c r="J1" s="32" t="s">
        <v>2818</v>
      </c>
      <c r="K1" s="30" t="s">
        <v>179</v>
      </c>
      <c r="L1" s="30" t="s">
        <v>180</v>
      </c>
      <c r="M1" s="30" t="s">
        <v>181</v>
      </c>
      <c r="N1" s="30" t="s">
        <v>182</v>
      </c>
      <c r="O1" s="30" t="s">
        <v>183</v>
      </c>
      <c r="P1" s="30" t="s">
        <v>184</v>
      </c>
      <c r="Q1" s="30" t="s">
        <v>185</v>
      </c>
      <c r="R1" s="30" t="s">
        <v>186</v>
      </c>
      <c r="S1" s="30" t="s">
        <v>187</v>
      </c>
      <c r="T1" s="30" t="s">
        <v>188</v>
      </c>
      <c r="U1" s="30" t="s">
        <v>189</v>
      </c>
      <c r="V1" s="30" t="s">
        <v>190</v>
      </c>
      <c r="W1" s="30" t="s">
        <v>191</v>
      </c>
      <c r="X1" s="30" t="s">
        <v>192</v>
      </c>
      <c r="Y1" s="30" t="s">
        <v>193</v>
      </c>
      <c r="Z1" s="30" t="s">
        <v>194</v>
      </c>
      <c r="AA1" s="30" t="s">
        <v>195</v>
      </c>
      <c r="AB1" s="30" t="s">
        <v>196</v>
      </c>
      <c r="AC1" s="30" t="s">
        <v>197</v>
      </c>
      <c r="AD1" s="30" t="s">
        <v>198</v>
      </c>
      <c r="AE1" s="30" t="s">
        <v>199</v>
      </c>
      <c r="AF1" s="30" t="s">
        <v>200</v>
      </c>
      <c r="AG1" s="30" t="s">
        <v>201</v>
      </c>
      <c r="AH1" s="30" t="s">
        <v>202</v>
      </c>
      <c r="AI1" s="30" t="s">
        <v>203</v>
      </c>
      <c r="AJ1" s="30" t="s">
        <v>204</v>
      </c>
      <c r="AK1" s="30" t="s">
        <v>205</v>
      </c>
      <c r="AL1" s="30" t="s">
        <v>206</v>
      </c>
      <c r="AM1" s="30" t="s">
        <v>207</v>
      </c>
      <c r="AN1" s="30" t="s">
        <v>208</v>
      </c>
      <c r="AO1" s="30" t="s">
        <v>209</v>
      </c>
      <c r="AP1" s="30" t="s">
        <v>210</v>
      </c>
      <c r="AQ1" s="30" t="s">
        <v>211</v>
      </c>
      <c r="AR1" s="30" t="s">
        <v>212</v>
      </c>
      <c r="AS1" s="30" t="s">
        <v>213</v>
      </c>
      <c r="AT1" s="30" t="s">
        <v>214</v>
      </c>
      <c r="AU1" s="30" t="s">
        <v>215</v>
      </c>
      <c r="AV1" s="30" t="s">
        <v>216</v>
      </c>
      <c r="AW1" s="30" t="s">
        <v>217</v>
      </c>
      <c r="AX1" s="30" t="s">
        <v>218</v>
      </c>
      <c r="AY1" s="30" t="s">
        <v>219</v>
      </c>
      <c r="AZ1" s="30" t="s">
        <v>220</v>
      </c>
      <c r="BA1" s="30" t="s">
        <v>221</v>
      </c>
      <c r="BB1" s="30" t="s">
        <v>222</v>
      </c>
      <c r="BC1" s="30" t="s">
        <v>223</v>
      </c>
      <c r="BD1" s="30" t="s">
        <v>224</v>
      </c>
      <c r="BE1" s="30" t="s">
        <v>225</v>
      </c>
      <c r="BF1" s="30" t="s">
        <v>226</v>
      </c>
      <c r="BG1" s="30" t="s">
        <v>227</v>
      </c>
      <c r="BH1" s="30" t="s">
        <v>228</v>
      </c>
      <c r="BI1" s="30" t="s">
        <v>229</v>
      </c>
      <c r="BJ1" s="30" t="s">
        <v>230</v>
      </c>
      <c r="BK1" s="30" t="s">
        <v>231</v>
      </c>
      <c r="BL1" s="30" t="s">
        <v>232</v>
      </c>
      <c r="BM1" s="30" t="s">
        <v>233</v>
      </c>
      <c r="BN1" s="30" t="s">
        <v>234</v>
      </c>
      <c r="BO1" s="30" t="s">
        <v>235</v>
      </c>
      <c r="BP1" s="30" t="s">
        <v>236</v>
      </c>
      <c r="BQ1" s="30" t="s">
        <v>237</v>
      </c>
      <c r="BR1" s="30" t="s">
        <v>238</v>
      </c>
      <c r="BS1" s="30" t="s">
        <v>239</v>
      </c>
      <c r="BT1" s="30" t="s">
        <v>240</v>
      </c>
      <c r="BU1" s="30" t="s">
        <v>241</v>
      </c>
      <c r="BV1" s="30" t="s">
        <v>242</v>
      </c>
    </row>
    <row r="2" spans="1:74" x14ac:dyDescent="0.2">
      <c r="A2" s="30" t="s">
        <v>243</v>
      </c>
      <c r="B2" s="30" t="s">
        <v>244</v>
      </c>
      <c r="C2" s="30" t="s">
        <v>245</v>
      </c>
      <c r="D2" s="30" t="s">
        <v>245</v>
      </c>
      <c r="E2" s="30" t="s">
        <v>245</v>
      </c>
      <c r="F2" s="30" t="s">
        <v>246</v>
      </c>
      <c r="G2" s="30" t="s">
        <v>245</v>
      </c>
      <c r="H2" s="30" t="s">
        <v>245</v>
      </c>
      <c r="I2" s="30" t="s">
        <v>2819</v>
      </c>
      <c r="K2" s="30" t="s">
        <v>247</v>
      </c>
      <c r="L2" s="30" t="s">
        <v>248</v>
      </c>
      <c r="M2" s="30" t="s">
        <v>245</v>
      </c>
      <c r="N2" s="30" t="s">
        <v>245</v>
      </c>
      <c r="O2" s="30" t="s">
        <v>245</v>
      </c>
      <c r="P2" s="30" t="s">
        <v>245</v>
      </c>
      <c r="Q2" s="30" t="s">
        <v>245</v>
      </c>
      <c r="R2" s="30" t="s">
        <v>245</v>
      </c>
      <c r="S2" s="30" t="s">
        <v>245</v>
      </c>
      <c r="T2" s="30" t="s">
        <v>245</v>
      </c>
      <c r="U2" s="30" t="s">
        <v>245</v>
      </c>
      <c r="V2" s="30" t="s">
        <v>245</v>
      </c>
      <c r="W2" s="30" t="s">
        <v>245</v>
      </c>
      <c r="X2" s="30" t="s">
        <v>245</v>
      </c>
      <c r="Y2" s="30" t="s">
        <v>245</v>
      </c>
      <c r="Z2" s="30" t="s">
        <v>245</v>
      </c>
      <c r="AA2" s="30" t="s">
        <v>245</v>
      </c>
      <c r="AB2" s="30" t="s">
        <v>245</v>
      </c>
      <c r="AC2" s="30" t="s">
        <v>249</v>
      </c>
      <c r="AD2" s="30" t="s">
        <v>250</v>
      </c>
      <c r="AE2" s="30" t="s">
        <v>245</v>
      </c>
      <c r="AF2" s="30" t="s">
        <v>245</v>
      </c>
      <c r="AG2" s="30" t="s">
        <v>245</v>
      </c>
      <c r="AH2" s="30" t="s">
        <v>245</v>
      </c>
      <c r="AI2" s="30" t="s">
        <v>245</v>
      </c>
      <c r="AJ2" s="30" t="s">
        <v>245</v>
      </c>
      <c r="AK2" s="30" t="s">
        <v>245</v>
      </c>
      <c r="AL2" s="30" t="s">
        <v>245</v>
      </c>
      <c r="AM2" s="30" t="s">
        <v>245</v>
      </c>
      <c r="AN2" s="30" t="s">
        <v>245</v>
      </c>
      <c r="AO2" s="30" t="s">
        <v>245</v>
      </c>
      <c r="AP2" s="30" t="s">
        <v>245</v>
      </c>
      <c r="AQ2" s="30" t="s">
        <v>251</v>
      </c>
      <c r="AR2" s="30" t="s">
        <v>252</v>
      </c>
      <c r="AS2" s="30" t="s">
        <v>245</v>
      </c>
      <c r="AT2" s="30" t="s">
        <v>245</v>
      </c>
      <c r="AU2" s="30" t="s">
        <v>245</v>
      </c>
      <c r="AV2" s="30" t="s">
        <v>245</v>
      </c>
      <c r="AW2" s="30">
        <v>2009</v>
      </c>
      <c r="AX2" s="30">
        <v>40</v>
      </c>
      <c r="AY2" s="30" t="s">
        <v>253</v>
      </c>
      <c r="AZ2" s="30" t="s">
        <v>245</v>
      </c>
      <c r="BA2" s="30" t="s">
        <v>245</v>
      </c>
      <c r="BB2" s="30" t="s">
        <v>245</v>
      </c>
      <c r="BC2" s="30" t="s">
        <v>245</v>
      </c>
      <c r="BD2" s="30">
        <v>3181</v>
      </c>
      <c r="BE2" s="30">
        <v>3193</v>
      </c>
      <c r="BF2" s="30" t="s">
        <v>254</v>
      </c>
      <c r="BG2" s="30" t="s">
        <v>255</v>
      </c>
      <c r="BH2" s="30" t="str">
        <f>HYPERLINK("http://dx.doi.org/10.1080/00103620903261692","http://dx.doi.org/10.1080/00103620903261692")</f>
        <v>http://dx.doi.org/10.1080/00103620903261692</v>
      </c>
      <c r="BI2" s="30" t="s">
        <v>245</v>
      </c>
      <c r="BJ2" s="30" t="s">
        <v>245</v>
      </c>
      <c r="BK2" s="30" t="s">
        <v>245</v>
      </c>
      <c r="BL2" s="30" t="s">
        <v>245</v>
      </c>
      <c r="BM2" s="30" t="s">
        <v>245</v>
      </c>
      <c r="BN2" s="30" t="s">
        <v>245</v>
      </c>
      <c r="BO2" s="30" t="s">
        <v>245</v>
      </c>
      <c r="BP2" s="30" t="s">
        <v>245</v>
      </c>
      <c r="BQ2" s="30" t="s">
        <v>245</v>
      </c>
      <c r="BR2" s="30" t="s">
        <v>245</v>
      </c>
      <c r="BS2" s="30" t="s">
        <v>245</v>
      </c>
      <c r="BT2" s="30" t="s">
        <v>245</v>
      </c>
      <c r="BU2" s="30" t="s">
        <v>256</v>
      </c>
      <c r="BV2" s="30" t="str">
        <f>HYPERLINK("https%3A%2F%2Fwww.webofscience.com%2Fwos%2Fwoscc%2Ffull-record%2FWOS:000274285900014","View Full Record in Web of Science")</f>
        <v>View Full Record in Web of Science</v>
      </c>
    </row>
    <row r="3" spans="1:74" x14ac:dyDescent="0.2">
      <c r="A3" s="30" t="s">
        <v>243</v>
      </c>
      <c r="B3" s="30" t="s">
        <v>257</v>
      </c>
      <c r="C3" s="30" t="s">
        <v>245</v>
      </c>
      <c r="D3" s="30" t="s">
        <v>245</v>
      </c>
      <c r="E3" s="30" t="s">
        <v>245</v>
      </c>
      <c r="F3" s="30" t="s">
        <v>258</v>
      </c>
      <c r="G3" s="30" t="s">
        <v>245</v>
      </c>
      <c r="H3" s="30" t="s">
        <v>245</v>
      </c>
      <c r="J3" s="30" t="s">
        <v>2820</v>
      </c>
      <c r="K3" s="30" t="s">
        <v>259</v>
      </c>
      <c r="L3" s="30" t="s">
        <v>260</v>
      </c>
      <c r="M3" s="30" t="s">
        <v>245</v>
      </c>
      <c r="N3" s="30" t="s">
        <v>245</v>
      </c>
      <c r="O3" s="30" t="s">
        <v>245</v>
      </c>
      <c r="P3" s="30" t="s">
        <v>245</v>
      </c>
      <c r="Q3" s="30" t="s">
        <v>245</v>
      </c>
      <c r="R3" s="30" t="s">
        <v>245</v>
      </c>
      <c r="S3" s="30" t="s">
        <v>245</v>
      </c>
      <c r="T3" s="30" t="s">
        <v>245</v>
      </c>
      <c r="U3" s="30" t="s">
        <v>245</v>
      </c>
      <c r="V3" s="30" t="s">
        <v>245</v>
      </c>
      <c r="W3" s="30" t="s">
        <v>245</v>
      </c>
      <c r="X3" s="30" t="s">
        <v>245</v>
      </c>
      <c r="Y3" s="30" t="s">
        <v>245</v>
      </c>
      <c r="Z3" s="30" t="s">
        <v>245</v>
      </c>
      <c r="AA3" s="30" t="s">
        <v>245</v>
      </c>
      <c r="AB3" s="30" t="s">
        <v>245</v>
      </c>
      <c r="AC3" s="30" t="s">
        <v>261</v>
      </c>
      <c r="AD3" s="30" t="s">
        <v>262</v>
      </c>
      <c r="AE3" s="30" t="s">
        <v>245</v>
      </c>
      <c r="AF3" s="30" t="s">
        <v>245</v>
      </c>
      <c r="AG3" s="30" t="s">
        <v>245</v>
      </c>
      <c r="AH3" s="30" t="s">
        <v>245</v>
      </c>
      <c r="AI3" s="30" t="s">
        <v>245</v>
      </c>
      <c r="AJ3" s="30" t="s">
        <v>245</v>
      </c>
      <c r="AK3" s="30" t="s">
        <v>245</v>
      </c>
      <c r="AL3" s="30" t="s">
        <v>245</v>
      </c>
      <c r="AM3" s="30" t="s">
        <v>245</v>
      </c>
      <c r="AN3" s="30" t="s">
        <v>245</v>
      </c>
      <c r="AO3" s="30" t="s">
        <v>245</v>
      </c>
      <c r="AP3" s="30" t="s">
        <v>245</v>
      </c>
      <c r="AQ3" s="30" t="s">
        <v>263</v>
      </c>
      <c r="AR3" s="30" t="s">
        <v>264</v>
      </c>
      <c r="AS3" s="30" t="s">
        <v>245</v>
      </c>
      <c r="AT3" s="30" t="s">
        <v>245</v>
      </c>
      <c r="AU3" s="30" t="s">
        <v>245</v>
      </c>
      <c r="AV3" s="30" t="s">
        <v>265</v>
      </c>
      <c r="AW3" s="30">
        <v>2015</v>
      </c>
      <c r="AX3" s="30">
        <v>48</v>
      </c>
      <c r="AY3" s="30">
        <v>6</v>
      </c>
      <c r="AZ3" s="30" t="s">
        <v>245</v>
      </c>
      <c r="BA3" s="30" t="s">
        <v>245</v>
      </c>
      <c r="BB3" s="30" t="s">
        <v>245</v>
      </c>
      <c r="BC3" s="30" t="s">
        <v>245</v>
      </c>
      <c r="BD3" s="30">
        <v>608</v>
      </c>
      <c r="BE3" s="30">
        <v>619</v>
      </c>
      <c r="BF3" s="30" t="s">
        <v>245</v>
      </c>
      <c r="BG3" s="30" t="s">
        <v>266</v>
      </c>
      <c r="BH3" s="30" t="str">
        <f>HYPERLINK("http://dx.doi.org/10.1134/S1064229315060022","http://dx.doi.org/10.1134/S1064229315060022")</f>
        <v>http://dx.doi.org/10.1134/S1064229315060022</v>
      </c>
      <c r="BI3" s="30" t="s">
        <v>245</v>
      </c>
      <c r="BJ3" s="30" t="s">
        <v>245</v>
      </c>
      <c r="BK3" s="30" t="s">
        <v>245</v>
      </c>
      <c r="BL3" s="30" t="s">
        <v>245</v>
      </c>
      <c r="BM3" s="30" t="s">
        <v>245</v>
      </c>
      <c r="BN3" s="30" t="s">
        <v>245</v>
      </c>
      <c r="BO3" s="30" t="s">
        <v>245</v>
      </c>
      <c r="BP3" s="30" t="s">
        <v>245</v>
      </c>
      <c r="BQ3" s="30" t="s">
        <v>245</v>
      </c>
      <c r="BR3" s="30" t="s">
        <v>245</v>
      </c>
      <c r="BS3" s="30" t="s">
        <v>245</v>
      </c>
      <c r="BT3" s="30" t="s">
        <v>245</v>
      </c>
      <c r="BU3" s="30" t="s">
        <v>267</v>
      </c>
      <c r="BV3" s="30" t="str">
        <f>HYPERLINK("https%3A%2F%2Fwww.webofscience.com%2Fwos%2Fwoscc%2Ffull-record%2FWOS:000356367100007","View Full Record in Web of Science")</f>
        <v>View Full Record in Web of Science</v>
      </c>
    </row>
    <row r="4" spans="1:74" x14ac:dyDescent="0.2">
      <c r="A4" s="30" t="s">
        <v>243</v>
      </c>
      <c r="B4" s="30" t="s">
        <v>268</v>
      </c>
      <c r="C4" s="30" t="s">
        <v>245</v>
      </c>
      <c r="D4" s="30" t="s">
        <v>245</v>
      </c>
      <c r="E4" s="30" t="s">
        <v>245</v>
      </c>
      <c r="F4" s="30" t="s">
        <v>269</v>
      </c>
      <c r="G4" s="30" t="s">
        <v>245</v>
      </c>
      <c r="H4" s="30" t="s">
        <v>245</v>
      </c>
      <c r="I4" s="30" t="s">
        <v>2819</v>
      </c>
      <c r="K4" s="30" t="s">
        <v>270</v>
      </c>
      <c r="L4" s="30" t="s">
        <v>271</v>
      </c>
      <c r="M4" s="30" t="s">
        <v>245</v>
      </c>
      <c r="N4" s="30" t="s">
        <v>245</v>
      </c>
      <c r="O4" s="30" t="s">
        <v>245</v>
      </c>
      <c r="P4" s="30" t="s">
        <v>245</v>
      </c>
      <c r="Q4" s="30" t="s">
        <v>245</v>
      </c>
      <c r="R4" s="30" t="s">
        <v>245</v>
      </c>
      <c r="S4" s="30" t="s">
        <v>245</v>
      </c>
      <c r="T4" s="30" t="s">
        <v>245</v>
      </c>
      <c r="U4" s="30" t="s">
        <v>245</v>
      </c>
      <c r="V4" s="30" t="s">
        <v>245</v>
      </c>
      <c r="W4" s="30" t="s">
        <v>245</v>
      </c>
      <c r="X4" s="30" t="s">
        <v>245</v>
      </c>
      <c r="Y4" s="30" t="s">
        <v>245</v>
      </c>
      <c r="Z4" s="30" t="s">
        <v>245</v>
      </c>
      <c r="AA4" s="30" t="s">
        <v>245</v>
      </c>
      <c r="AB4" s="30" t="s">
        <v>245</v>
      </c>
      <c r="AC4" s="30" t="s">
        <v>272</v>
      </c>
      <c r="AD4" s="30" t="s">
        <v>273</v>
      </c>
      <c r="AE4" s="30" t="s">
        <v>245</v>
      </c>
      <c r="AF4" s="30" t="s">
        <v>245</v>
      </c>
      <c r="AG4" s="30" t="s">
        <v>245</v>
      </c>
      <c r="AH4" s="30" t="s">
        <v>245</v>
      </c>
      <c r="AI4" s="30" t="s">
        <v>245</v>
      </c>
      <c r="AJ4" s="30" t="s">
        <v>245</v>
      </c>
      <c r="AK4" s="30" t="s">
        <v>245</v>
      </c>
      <c r="AL4" s="30" t="s">
        <v>245</v>
      </c>
      <c r="AM4" s="30" t="s">
        <v>245</v>
      </c>
      <c r="AN4" s="30" t="s">
        <v>245</v>
      </c>
      <c r="AO4" s="30" t="s">
        <v>245</v>
      </c>
      <c r="AP4" s="30" t="s">
        <v>245</v>
      </c>
      <c r="AQ4" s="30" t="s">
        <v>274</v>
      </c>
      <c r="AR4" s="30" t="s">
        <v>275</v>
      </c>
      <c r="AS4" s="30" t="s">
        <v>245</v>
      </c>
      <c r="AT4" s="30" t="s">
        <v>245</v>
      </c>
      <c r="AU4" s="30" t="s">
        <v>245</v>
      </c>
      <c r="AV4" s="30" t="s">
        <v>276</v>
      </c>
      <c r="AW4" s="30">
        <v>2023</v>
      </c>
      <c r="AX4" s="30">
        <v>57</v>
      </c>
      <c r="AY4" s="30">
        <v>14</v>
      </c>
      <c r="AZ4" s="30" t="s">
        <v>245</v>
      </c>
      <c r="BA4" s="30" t="s">
        <v>245</v>
      </c>
      <c r="BB4" s="30" t="s">
        <v>245</v>
      </c>
      <c r="BC4" s="30" t="s">
        <v>245</v>
      </c>
      <c r="BD4" s="30">
        <v>5655</v>
      </c>
      <c r="BE4" s="30">
        <v>5665</v>
      </c>
      <c r="BF4" s="30" t="s">
        <v>245</v>
      </c>
      <c r="BG4" s="30" t="s">
        <v>277</v>
      </c>
      <c r="BH4" s="30" t="str">
        <f>HYPERLINK("http://dx.doi.org/10.1021/acs.est.2c09457","http://dx.doi.org/10.1021/acs.est.2c09457")</f>
        <v>http://dx.doi.org/10.1021/acs.est.2c09457</v>
      </c>
      <c r="BI4" s="30" t="s">
        <v>245</v>
      </c>
      <c r="BJ4" s="30" t="s">
        <v>245</v>
      </c>
      <c r="BK4" s="30" t="s">
        <v>245</v>
      </c>
      <c r="BL4" s="30" t="s">
        <v>245</v>
      </c>
      <c r="BM4" s="30" t="s">
        <v>245</v>
      </c>
      <c r="BN4" s="30" t="s">
        <v>245</v>
      </c>
      <c r="BO4" s="30" t="s">
        <v>245</v>
      </c>
      <c r="BP4" s="30">
        <v>36976621</v>
      </c>
      <c r="BQ4" s="30" t="s">
        <v>245</v>
      </c>
      <c r="BR4" s="30" t="s">
        <v>245</v>
      </c>
      <c r="BS4" s="30" t="s">
        <v>245</v>
      </c>
      <c r="BT4" s="30" t="s">
        <v>245</v>
      </c>
      <c r="BU4" s="30" t="s">
        <v>278</v>
      </c>
      <c r="BV4" s="30" t="str">
        <f>HYPERLINK("https%3A%2F%2Fwww.webofscience.com%2Fwos%2Fwoscc%2Ffull-record%2FWOS:000973007800001","View Full Record in Web of Science")</f>
        <v>View Full Record in Web of Science</v>
      </c>
    </row>
    <row r="5" spans="1:74" x14ac:dyDescent="0.2">
      <c r="A5" s="30" t="s">
        <v>243</v>
      </c>
      <c r="B5" s="30" t="s">
        <v>279</v>
      </c>
      <c r="C5" s="30" t="s">
        <v>245</v>
      </c>
      <c r="D5" s="30" t="s">
        <v>245</v>
      </c>
      <c r="E5" s="30" t="s">
        <v>245</v>
      </c>
      <c r="F5" s="30" t="s">
        <v>280</v>
      </c>
      <c r="G5" s="30" t="s">
        <v>245</v>
      </c>
      <c r="H5" s="30" t="s">
        <v>245</v>
      </c>
      <c r="I5" s="30" t="s">
        <v>2821</v>
      </c>
      <c r="K5" s="30" t="s">
        <v>281</v>
      </c>
      <c r="L5" s="30" t="s">
        <v>282</v>
      </c>
      <c r="M5" s="30" t="s">
        <v>245</v>
      </c>
      <c r="N5" s="30" t="s">
        <v>245</v>
      </c>
      <c r="O5" s="30" t="s">
        <v>245</v>
      </c>
      <c r="P5" s="30" t="s">
        <v>245</v>
      </c>
      <c r="Q5" s="30" t="s">
        <v>245</v>
      </c>
      <c r="R5" s="30" t="s">
        <v>245</v>
      </c>
      <c r="S5" s="30" t="s">
        <v>245</v>
      </c>
      <c r="T5" s="30" t="s">
        <v>245</v>
      </c>
      <c r="U5" s="30" t="s">
        <v>245</v>
      </c>
      <c r="V5" s="30" t="s">
        <v>245</v>
      </c>
      <c r="W5" s="30" t="s">
        <v>245</v>
      </c>
      <c r="X5" s="30" t="s">
        <v>245</v>
      </c>
      <c r="Y5" s="30" t="s">
        <v>245</v>
      </c>
      <c r="Z5" s="30" t="s">
        <v>245</v>
      </c>
      <c r="AA5" s="30" t="s">
        <v>245</v>
      </c>
      <c r="AB5" s="30" t="s">
        <v>245</v>
      </c>
      <c r="AC5" s="30" t="s">
        <v>283</v>
      </c>
      <c r="AD5" s="30" t="s">
        <v>284</v>
      </c>
      <c r="AE5" s="30" t="s">
        <v>245</v>
      </c>
      <c r="AF5" s="30" t="s">
        <v>245</v>
      </c>
      <c r="AG5" s="30" t="s">
        <v>245</v>
      </c>
      <c r="AH5" s="30" t="s">
        <v>245</v>
      </c>
      <c r="AI5" s="30" t="s">
        <v>245</v>
      </c>
      <c r="AJ5" s="30" t="s">
        <v>245</v>
      </c>
      <c r="AK5" s="30" t="s">
        <v>245</v>
      </c>
      <c r="AL5" s="30" t="s">
        <v>245</v>
      </c>
      <c r="AM5" s="30" t="s">
        <v>245</v>
      </c>
      <c r="AN5" s="30" t="s">
        <v>245</v>
      </c>
      <c r="AO5" s="30" t="s">
        <v>245</v>
      </c>
      <c r="AP5" s="30" t="s">
        <v>245</v>
      </c>
      <c r="AQ5" s="30" t="s">
        <v>285</v>
      </c>
      <c r="AR5" s="30" t="s">
        <v>245</v>
      </c>
      <c r="AS5" s="30" t="s">
        <v>245</v>
      </c>
      <c r="AT5" s="30" t="s">
        <v>245</v>
      </c>
      <c r="AU5" s="30" t="s">
        <v>245</v>
      </c>
      <c r="AV5" s="30" t="s">
        <v>286</v>
      </c>
      <c r="AW5" s="30">
        <v>2008</v>
      </c>
      <c r="AX5" s="30">
        <v>40</v>
      </c>
      <c r="AY5" s="30">
        <v>1</v>
      </c>
      <c r="AZ5" s="30" t="s">
        <v>245</v>
      </c>
      <c r="BA5" s="30" t="s">
        <v>245</v>
      </c>
      <c r="BB5" s="30" t="s">
        <v>245</v>
      </c>
      <c r="BC5" s="30" t="s">
        <v>245</v>
      </c>
      <c r="BD5" s="30">
        <v>142</v>
      </c>
      <c r="BE5" s="30">
        <v>151</v>
      </c>
      <c r="BF5" s="30" t="s">
        <v>245</v>
      </c>
      <c r="BG5" s="30" t="s">
        <v>287</v>
      </c>
      <c r="BH5" s="30" t="str">
        <f>HYPERLINK("http://dx.doi.org/10.1016/j.soilbio.2007.07.016","http://dx.doi.org/10.1016/j.soilbio.2007.07.016")</f>
        <v>http://dx.doi.org/10.1016/j.soilbio.2007.07.016</v>
      </c>
      <c r="BI5" s="30" t="s">
        <v>245</v>
      </c>
      <c r="BJ5" s="30" t="s">
        <v>245</v>
      </c>
      <c r="BK5" s="30" t="s">
        <v>245</v>
      </c>
      <c r="BL5" s="30" t="s">
        <v>245</v>
      </c>
      <c r="BM5" s="30" t="s">
        <v>245</v>
      </c>
      <c r="BN5" s="30" t="s">
        <v>245</v>
      </c>
      <c r="BO5" s="30" t="s">
        <v>245</v>
      </c>
      <c r="BP5" s="30" t="s">
        <v>245</v>
      </c>
      <c r="BQ5" s="30" t="s">
        <v>245</v>
      </c>
      <c r="BR5" s="30" t="s">
        <v>245</v>
      </c>
      <c r="BS5" s="30" t="s">
        <v>245</v>
      </c>
      <c r="BT5" s="30" t="s">
        <v>245</v>
      </c>
      <c r="BU5" s="30" t="s">
        <v>288</v>
      </c>
      <c r="BV5" s="30" t="str">
        <f>HYPERLINK("https%3A%2F%2Fwww.webofscience.com%2Fwos%2Fwoscc%2Ffull-record%2FWOS:000251242000014","View Full Record in Web of Science")</f>
        <v>View Full Record in Web of Science</v>
      </c>
    </row>
    <row r="6" spans="1:74" x14ac:dyDescent="0.2">
      <c r="A6" s="30" t="s">
        <v>243</v>
      </c>
      <c r="B6" s="30" t="s">
        <v>289</v>
      </c>
      <c r="C6" s="30" t="s">
        <v>245</v>
      </c>
      <c r="D6" s="30" t="s">
        <v>245</v>
      </c>
      <c r="E6" s="30" t="s">
        <v>245</v>
      </c>
      <c r="F6" s="30" t="s">
        <v>290</v>
      </c>
      <c r="G6" s="30" t="s">
        <v>245</v>
      </c>
      <c r="H6" s="30" t="s">
        <v>245</v>
      </c>
      <c r="I6" s="30" t="s">
        <v>2822</v>
      </c>
      <c r="K6" s="30" t="s">
        <v>291</v>
      </c>
      <c r="L6" s="30" t="s">
        <v>292</v>
      </c>
      <c r="M6" s="30" t="s">
        <v>245</v>
      </c>
      <c r="N6" s="30" t="s">
        <v>245</v>
      </c>
      <c r="O6" s="30" t="s">
        <v>245</v>
      </c>
      <c r="P6" s="30" t="s">
        <v>245</v>
      </c>
      <c r="Q6" s="30" t="s">
        <v>245</v>
      </c>
      <c r="R6" s="30" t="s">
        <v>245</v>
      </c>
      <c r="S6" s="30" t="s">
        <v>245</v>
      </c>
      <c r="T6" s="30" t="s">
        <v>245</v>
      </c>
      <c r="U6" s="30" t="s">
        <v>245</v>
      </c>
      <c r="V6" s="30" t="s">
        <v>245</v>
      </c>
      <c r="W6" s="30" t="s">
        <v>245</v>
      </c>
      <c r="X6" s="30" t="s">
        <v>245</v>
      </c>
      <c r="Y6" s="30" t="s">
        <v>245</v>
      </c>
      <c r="Z6" s="30" t="s">
        <v>245</v>
      </c>
      <c r="AA6" s="30" t="s">
        <v>245</v>
      </c>
      <c r="AB6" s="30" t="s">
        <v>245</v>
      </c>
      <c r="AC6" s="30" t="s">
        <v>293</v>
      </c>
      <c r="AD6" s="30" t="s">
        <v>294</v>
      </c>
      <c r="AE6" s="30" t="s">
        <v>245</v>
      </c>
      <c r="AF6" s="30" t="s">
        <v>245</v>
      </c>
      <c r="AG6" s="30" t="s">
        <v>245</v>
      </c>
      <c r="AH6" s="30" t="s">
        <v>245</v>
      </c>
      <c r="AI6" s="30" t="s">
        <v>245</v>
      </c>
      <c r="AJ6" s="30" t="s">
        <v>245</v>
      </c>
      <c r="AK6" s="30" t="s">
        <v>245</v>
      </c>
      <c r="AL6" s="30" t="s">
        <v>245</v>
      </c>
      <c r="AM6" s="30" t="s">
        <v>245</v>
      </c>
      <c r="AN6" s="30" t="s">
        <v>245</v>
      </c>
      <c r="AO6" s="30" t="s">
        <v>245</v>
      </c>
      <c r="AP6" s="30" t="s">
        <v>245</v>
      </c>
      <c r="AQ6" s="30" t="s">
        <v>295</v>
      </c>
      <c r="AR6" s="30" t="s">
        <v>296</v>
      </c>
      <c r="AS6" s="30" t="s">
        <v>245</v>
      </c>
      <c r="AT6" s="30" t="s">
        <v>245</v>
      </c>
      <c r="AU6" s="30" t="s">
        <v>245</v>
      </c>
      <c r="AV6" s="30" t="s">
        <v>297</v>
      </c>
      <c r="AW6" s="30">
        <v>2017</v>
      </c>
      <c r="AX6" s="30">
        <v>27</v>
      </c>
      <c r="AY6" s="30">
        <v>5</v>
      </c>
      <c r="AZ6" s="30" t="s">
        <v>245</v>
      </c>
      <c r="BA6" s="30" t="s">
        <v>245</v>
      </c>
      <c r="BB6" s="30" t="s">
        <v>298</v>
      </c>
      <c r="BC6" s="30" t="s">
        <v>245</v>
      </c>
      <c r="BD6" s="30">
        <v>868</v>
      </c>
      <c r="BE6" s="30">
        <v>876</v>
      </c>
      <c r="BF6" s="30" t="s">
        <v>245</v>
      </c>
      <c r="BG6" s="30" t="s">
        <v>299</v>
      </c>
      <c r="BH6" s="30" t="str">
        <f>HYPERLINK("http://dx.doi.org/10.1016/S1002-0160(17)60453-3","http://dx.doi.org/10.1016/S1002-0160(17)60453-3")</f>
        <v>http://dx.doi.org/10.1016/S1002-0160(17)60453-3</v>
      </c>
      <c r="BI6" s="30" t="s">
        <v>245</v>
      </c>
      <c r="BJ6" s="30" t="s">
        <v>245</v>
      </c>
      <c r="BK6" s="30" t="s">
        <v>245</v>
      </c>
      <c r="BL6" s="30" t="s">
        <v>245</v>
      </c>
      <c r="BM6" s="30" t="s">
        <v>245</v>
      </c>
      <c r="BN6" s="30" t="s">
        <v>245</v>
      </c>
      <c r="BO6" s="30" t="s">
        <v>245</v>
      </c>
      <c r="BP6" s="30" t="s">
        <v>245</v>
      </c>
      <c r="BQ6" s="30" t="s">
        <v>245</v>
      </c>
      <c r="BR6" s="30" t="s">
        <v>245</v>
      </c>
      <c r="BS6" s="30" t="s">
        <v>245</v>
      </c>
      <c r="BT6" s="30" t="s">
        <v>245</v>
      </c>
      <c r="BU6" s="30" t="s">
        <v>300</v>
      </c>
      <c r="BV6" s="30" t="str">
        <f>HYPERLINK("https%3A%2F%2Fwww.webofscience.com%2Fwos%2Fwoscc%2Ffull-record%2FWOS:000416880300008","View Full Record in Web of Science")</f>
        <v>View Full Record in Web of Science</v>
      </c>
    </row>
    <row r="7" spans="1:74" x14ac:dyDescent="0.2">
      <c r="A7" s="30" t="s">
        <v>243</v>
      </c>
      <c r="B7" s="30" t="s">
        <v>301</v>
      </c>
      <c r="C7" s="30" t="s">
        <v>245</v>
      </c>
      <c r="D7" s="30" t="s">
        <v>245</v>
      </c>
      <c r="E7" s="30" t="s">
        <v>245</v>
      </c>
      <c r="F7" s="30" t="s">
        <v>302</v>
      </c>
      <c r="G7" s="30" t="s">
        <v>245</v>
      </c>
      <c r="H7" s="30" t="s">
        <v>245</v>
      </c>
      <c r="I7" s="30" t="s">
        <v>2823</v>
      </c>
      <c r="K7" s="30" t="s">
        <v>303</v>
      </c>
      <c r="L7" s="30" t="s">
        <v>304</v>
      </c>
      <c r="M7" s="30" t="s">
        <v>245</v>
      </c>
      <c r="N7" s="30" t="s">
        <v>245</v>
      </c>
      <c r="O7" s="30" t="s">
        <v>245</v>
      </c>
      <c r="P7" s="30" t="s">
        <v>245</v>
      </c>
      <c r="Q7" s="30" t="s">
        <v>245</v>
      </c>
      <c r="R7" s="30" t="s">
        <v>245</v>
      </c>
      <c r="S7" s="30" t="s">
        <v>245</v>
      </c>
      <c r="T7" s="30" t="s">
        <v>245</v>
      </c>
      <c r="U7" s="30" t="s">
        <v>245</v>
      </c>
      <c r="V7" s="30" t="s">
        <v>245</v>
      </c>
      <c r="W7" s="30" t="s">
        <v>245</v>
      </c>
      <c r="X7" s="30" t="s">
        <v>245</v>
      </c>
      <c r="Y7" s="30" t="s">
        <v>245</v>
      </c>
      <c r="Z7" s="30" t="s">
        <v>245</v>
      </c>
      <c r="AA7" s="30" t="s">
        <v>245</v>
      </c>
      <c r="AB7" s="30" t="s">
        <v>245</v>
      </c>
      <c r="AC7" s="30" t="s">
        <v>305</v>
      </c>
      <c r="AD7" s="30" t="s">
        <v>306</v>
      </c>
      <c r="AE7" s="30" t="s">
        <v>245</v>
      </c>
      <c r="AF7" s="30" t="s">
        <v>245</v>
      </c>
      <c r="AG7" s="30" t="s">
        <v>245</v>
      </c>
      <c r="AH7" s="30" t="s">
        <v>245</v>
      </c>
      <c r="AI7" s="30" t="s">
        <v>245</v>
      </c>
      <c r="AJ7" s="30" t="s">
        <v>245</v>
      </c>
      <c r="AK7" s="30" t="s">
        <v>245</v>
      </c>
      <c r="AL7" s="30" t="s">
        <v>245</v>
      </c>
      <c r="AM7" s="30" t="s">
        <v>245</v>
      </c>
      <c r="AN7" s="30" t="s">
        <v>245</v>
      </c>
      <c r="AO7" s="30" t="s">
        <v>245</v>
      </c>
      <c r="AP7" s="30" t="s">
        <v>245</v>
      </c>
      <c r="AQ7" s="30" t="s">
        <v>307</v>
      </c>
      <c r="AR7" s="30" t="s">
        <v>308</v>
      </c>
      <c r="AS7" s="30" t="s">
        <v>245</v>
      </c>
      <c r="AT7" s="30" t="s">
        <v>245</v>
      </c>
      <c r="AU7" s="30" t="s">
        <v>245</v>
      </c>
      <c r="AV7" s="30" t="s">
        <v>245</v>
      </c>
      <c r="AW7" s="30">
        <v>2018</v>
      </c>
      <c r="AX7" s="30">
        <v>64</v>
      </c>
      <c r="AY7" s="30">
        <v>1</v>
      </c>
      <c r="AZ7" s="30" t="s">
        <v>245</v>
      </c>
      <c r="BA7" s="30" t="s">
        <v>245</v>
      </c>
      <c r="BB7" s="30" t="s">
        <v>245</v>
      </c>
      <c r="BC7" s="30" t="s">
        <v>245</v>
      </c>
      <c r="BD7" s="30">
        <v>31</v>
      </c>
      <c r="BE7" s="30">
        <v>38</v>
      </c>
      <c r="BF7" s="30" t="s">
        <v>245</v>
      </c>
      <c r="BG7" s="30" t="s">
        <v>309</v>
      </c>
      <c r="BH7" s="30" t="str">
        <f>HYPERLINK("http://dx.doi.org/10.1080/00380768.2017.1399044","http://dx.doi.org/10.1080/00380768.2017.1399044")</f>
        <v>http://dx.doi.org/10.1080/00380768.2017.1399044</v>
      </c>
      <c r="BI7" s="30" t="s">
        <v>245</v>
      </c>
      <c r="BJ7" s="30" t="s">
        <v>245</v>
      </c>
      <c r="BK7" s="30" t="s">
        <v>245</v>
      </c>
      <c r="BL7" s="30" t="s">
        <v>245</v>
      </c>
      <c r="BM7" s="30" t="s">
        <v>245</v>
      </c>
      <c r="BN7" s="30" t="s">
        <v>245</v>
      </c>
      <c r="BO7" s="30" t="s">
        <v>245</v>
      </c>
      <c r="BP7" s="30" t="s">
        <v>245</v>
      </c>
      <c r="BQ7" s="30" t="s">
        <v>245</v>
      </c>
      <c r="BR7" s="30" t="s">
        <v>245</v>
      </c>
      <c r="BS7" s="30" t="s">
        <v>245</v>
      </c>
      <c r="BT7" s="30" t="s">
        <v>245</v>
      </c>
      <c r="BU7" s="30" t="s">
        <v>310</v>
      </c>
      <c r="BV7" s="30" t="str">
        <f>HYPERLINK("https%3A%2F%2Fwww.webofscience.com%2Fwos%2Fwoscc%2Ffull-record%2FWOS:000424108000005","View Full Record in Web of Science")</f>
        <v>View Full Record in Web of Science</v>
      </c>
    </row>
    <row r="8" spans="1:74" x14ac:dyDescent="0.2">
      <c r="A8" s="30" t="s">
        <v>243</v>
      </c>
      <c r="B8" s="30" t="s">
        <v>311</v>
      </c>
      <c r="C8" s="30" t="s">
        <v>245</v>
      </c>
      <c r="D8" s="30" t="s">
        <v>245</v>
      </c>
      <c r="E8" s="30" t="s">
        <v>245</v>
      </c>
      <c r="F8" s="30" t="s">
        <v>312</v>
      </c>
      <c r="G8" s="30" t="s">
        <v>245</v>
      </c>
      <c r="H8" s="30" t="s">
        <v>245</v>
      </c>
      <c r="I8" s="30" t="s">
        <v>2819</v>
      </c>
      <c r="K8" s="30" t="s">
        <v>313</v>
      </c>
      <c r="L8" s="30" t="s">
        <v>314</v>
      </c>
      <c r="M8" s="30" t="s">
        <v>245</v>
      </c>
      <c r="N8" s="30" t="s">
        <v>245</v>
      </c>
      <c r="O8" s="30" t="s">
        <v>245</v>
      </c>
      <c r="P8" s="30" t="s">
        <v>245</v>
      </c>
      <c r="Q8" s="30" t="s">
        <v>245</v>
      </c>
      <c r="R8" s="30" t="s">
        <v>245</v>
      </c>
      <c r="S8" s="30" t="s">
        <v>245</v>
      </c>
      <c r="T8" s="30" t="s">
        <v>245</v>
      </c>
      <c r="U8" s="30" t="s">
        <v>245</v>
      </c>
      <c r="V8" s="30" t="s">
        <v>245</v>
      </c>
      <c r="W8" s="30" t="s">
        <v>245</v>
      </c>
      <c r="X8" s="30" t="s">
        <v>245</v>
      </c>
      <c r="Y8" s="30" t="s">
        <v>245</v>
      </c>
      <c r="Z8" s="30" t="s">
        <v>245</v>
      </c>
      <c r="AA8" s="30" t="s">
        <v>245</v>
      </c>
      <c r="AB8" s="30" t="s">
        <v>245</v>
      </c>
      <c r="AC8" s="30" t="s">
        <v>315</v>
      </c>
      <c r="AD8" s="30" t="s">
        <v>316</v>
      </c>
      <c r="AE8" s="30" t="s">
        <v>245</v>
      </c>
      <c r="AF8" s="30" t="s">
        <v>245</v>
      </c>
      <c r="AG8" s="30" t="s">
        <v>245</v>
      </c>
      <c r="AH8" s="30" t="s">
        <v>245</v>
      </c>
      <c r="AI8" s="30" t="s">
        <v>245</v>
      </c>
      <c r="AJ8" s="30" t="s">
        <v>245</v>
      </c>
      <c r="AK8" s="30" t="s">
        <v>245</v>
      </c>
      <c r="AL8" s="30" t="s">
        <v>245</v>
      </c>
      <c r="AM8" s="30" t="s">
        <v>245</v>
      </c>
      <c r="AN8" s="30" t="s">
        <v>245</v>
      </c>
      <c r="AO8" s="30" t="s">
        <v>245</v>
      </c>
      <c r="AP8" s="30" t="s">
        <v>245</v>
      </c>
      <c r="AQ8" s="30" t="s">
        <v>317</v>
      </c>
      <c r="AR8" s="30" t="s">
        <v>318</v>
      </c>
      <c r="AS8" s="30" t="s">
        <v>245</v>
      </c>
      <c r="AT8" s="30" t="s">
        <v>245</v>
      </c>
      <c r="AU8" s="30" t="s">
        <v>245</v>
      </c>
      <c r="AV8" s="30" t="s">
        <v>319</v>
      </c>
      <c r="AW8" s="30">
        <v>2023</v>
      </c>
      <c r="AX8" s="30" t="s">
        <v>245</v>
      </c>
      <c r="AY8" s="30" t="s">
        <v>245</v>
      </c>
      <c r="AZ8" s="30" t="s">
        <v>245</v>
      </c>
      <c r="BA8" s="30" t="s">
        <v>245</v>
      </c>
      <c r="BB8" s="30" t="s">
        <v>245</v>
      </c>
      <c r="BC8" s="30" t="s">
        <v>245</v>
      </c>
      <c r="BD8" s="30" t="s">
        <v>245</v>
      </c>
      <c r="BE8" s="30" t="s">
        <v>245</v>
      </c>
      <c r="BF8" s="30" t="s">
        <v>245</v>
      </c>
      <c r="BG8" s="30" t="s">
        <v>320</v>
      </c>
      <c r="BH8" s="30" t="str">
        <f>HYPERLINK("http://dx.doi.org/10.1080/00288233.2023.2277916","http://dx.doi.org/10.1080/00288233.2023.2277916")</f>
        <v>http://dx.doi.org/10.1080/00288233.2023.2277916</v>
      </c>
      <c r="BI8" s="30" t="s">
        <v>245</v>
      </c>
      <c r="BJ8" s="30" t="s">
        <v>321</v>
      </c>
      <c r="BK8" s="30" t="s">
        <v>245</v>
      </c>
      <c r="BL8" s="30" t="s">
        <v>245</v>
      </c>
      <c r="BM8" s="30" t="s">
        <v>245</v>
      </c>
      <c r="BN8" s="30" t="s">
        <v>245</v>
      </c>
      <c r="BO8" s="30" t="s">
        <v>245</v>
      </c>
      <c r="BP8" s="30" t="s">
        <v>245</v>
      </c>
      <c r="BQ8" s="30" t="s">
        <v>245</v>
      </c>
      <c r="BR8" s="30" t="s">
        <v>245</v>
      </c>
      <c r="BS8" s="30" t="s">
        <v>245</v>
      </c>
      <c r="BT8" s="30" t="s">
        <v>245</v>
      </c>
      <c r="BU8" s="30" t="s">
        <v>322</v>
      </c>
      <c r="BV8" s="30" t="str">
        <f>HYPERLINK("https%3A%2F%2Fwww.webofscience.com%2Fwos%2Fwoscc%2Ffull-record%2FWOS:001096454700001","View Full Record in Web of Science")</f>
        <v>View Full Record in Web of Science</v>
      </c>
    </row>
    <row r="9" spans="1:74" x14ac:dyDescent="0.2">
      <c r="A9" s="30" t="s">
        <v>243</v>
      </c>
      <c r="B9" s="30" t="s">
        <v>323</v>
      </c>
      <c r="C9" s="30" t="s">
        <v>245</v>
      </c>
      <c r="D9" s="30" t="s">
        <v>245</v>
      </c>
      <c r="E9" s="30" t="s">
        <v>245</v>
      </c>
      <c r="F9" s="30" t="s">
        <v>324</v>
      </c>
      <c r="G9" s="30" t="s">
        <v>245</v>
      </c>
      <c r="H9" s="30" t="s">
        <v>245</v>
      </c>
      <c r="I9" s="30" t="s">
        <v>2822</v>
      </c>
      <c r="K9" s="30" t="s">
        <v>325</v>
      </c>
      <c r="L9" s="30" t="s">
        <v>326</v>
      </c>
      <c r="M9" s="30" t="s">
        <v>245</v>
      </c>
      <c r="N9" s="30" t="s">
        <v>245</v>
      </c>
      <c r="O9" s="30" t="s">
        <v>245</v>
      </c>
      <c r="P9" s="30" t="s">
        <v>245</v>
      </c>
      <c r="Q9" s="30" t="s">
        <v>245</v>
      </c>
      <c r="R9" s="30" t="s">
        <v>245</v>
      </c>
      <c r="S9" s="30" t="s">
        <v>245</v>
      </c>
      <c r="T9" s="30" t="s">
        <v>245</v>
      </c>
      <c r="U9" s="30" t="s">
        <v>245</v>
      </c>
      <c r="V9" s="30" t="s">
        <v>245</v>
      </c>
      <c r="W9" s="30" t="s">
        <v>245</v>
      </c>
      <c r="X9" s="30" t="s">
        <v>245</v>
      </c>
      <c r="Y9" s="30" t="s">
        <v>245</v>
      </c>
      <c r="Z9" s="30" t="s">
        <v>245</v>
      </c>
      <c r="AA9" s="30" t="s">
        <v>245</v>
      </c>
      <c r="AB9" s="30" t="s">
        <v>245</v>
      </c>
      <c r="AC9" s="30" t="s">
        <v>327</v>
      </c>
      <c r="AD9" s="30" t="s">
        <v>328</v>
      </c>
      <c r="AE9" s="30" t="s">
        <v>245</v>
      </c>
      <c r="AF9" s="30" t="s">
        <v>245</v>
      </c>
      <c r="AG9" s="30" t="s">
        <v>245</v>
      </c>
      <c r="AH9" s="30" t="s">
        <v>245</v>
      </c>
      <c r="AI9" s="30" t="s">
        <v>245</v>
      </c>
      <c r="AJ9" s="30" t="s">
        <v>245</v>
      </c>
      <c r="AK9" s="30" t="s">
        <v>245</v>
      </c>
      <c r="AL9" s="30" t="s">
        <v>245</v>
      </c>
      <c r="AM9" s="30" t="s">
        <v>245</v>
      </c>
      <c r="AN9" s="30" t="s">
        <v>245</v>
      </c>
      <c r="AO9" s="30" t="s">
        <v>245</v>
      </c>
      <c r="AP9" s="30" t="s">
        <v>245</v>
      </c>
      <c r="AQ9" s="30" t="s">
        <v>329</v>
      </c>
      <c r="AR9" s="30" t="s">
        <v>330</v>
      </c>
      <c r="AS9" s="30" t="s">
        <v>245</v>
      </c>
      <c r="AT9" s="30" t="s">
        <v>245</v>
      </c>
      <c r="AU9" s="30" t="s">
        <v>245</v>
      </c>
      <c r="AV9" s="30" t="s">
        <v>331</v>
      </c>
      <c r="AW9" s="30">
        <v>2020</v>
      </c>
      <c r="AX9" s="30">
        <v>192</v>
      </c>
      <c r="AY9" s="30">
        <v>12</v>
      </c>
      <c r="AZ9" s="30" t="s">
        <v>245</v>
      </c>
      <c r="BA9" s="30" t="s">
        <v>245</v>
      </c>
      <c r="BB9" s="30" t="s">
        <v>245</v>
      </c>
      <c r="BC9" s="30" t="s">
        <v>245</v>
      </c>
      <c r="BD9" s="30" t="s">
        <v>245</v>
      </c>
      <c r="BE9" s="30" t="s">
        <v>245</v>
      </c>
      <c r="BF9" s="30">
        <v>751</v>
      </c>
      <c r="BG9" s="30" t="s">
        <v>332</v>
      </c>
      <c r="BH9" s="30" t="str">
        <f>HYPERLINK("http://dx.doi.org/10.1007/s10661-020-08697-1","http://dx.doi.org/10.1007/s10661-020-08697-1")</f>
        <v>http://dx.doi.org/10.1007/s10661-020-08697-1</v>
      </c>
      <c r="BI9" s="30" t="s">
        <v>245</v>
      </c>
      <c r="BJ9" s="30" t="s">
        <v>245</v>
      </c>
      <c r="BK9" s="30" t="s">
        <v>245</v>
      </c>
      <c r="BL9" s="30" t="s">
        <v>245</v>
      </c>
      <c r="BM9" s="30" t="s">
        <v>245</v>
      </c>
      <c r="BN9" s="30" t="s">
        <v>245</v>
      </c>
      <c r="BO9" s="30" t="s">
        <v>245</v>
      </c>
      <c r="BP9" s="30">
        <v>33156467</v>
      </c>
      <c r="BQ9" s="30" t="s">
        <v>245</v>
      </c>
      <c r="BR9" s="30" t="s">
        <v>245</v>
      </c>
      <c r="BS9" s="30" t="s">
        <v>245</v>
      </c>
      <c r="BT9" s="30" t="s">
        <v>245</v>
      </c>
      <c r="BU9" s="30" t="s">
        <v>333</v>
      </c>
      <c r="BV9" s="30" t="str">
        <f>HYPERLINK("https%3A%2F%2Fwww.webofscience.com%2Fwos%2Fwoscc%2Ffull-record%2FWOS:000586880600001","View Full Record in Web of Science")</f>
        <v>View Full Record in Web of Science</v>
      </c>
    </row>
    <row r="10" spans="1:74" x14ac:dyDescent="0.2">
      <c r="A10" s="30" t="s">
        <v>243</v>
      </c>
      <c r="B10" s="30" t="s">
        <v>334</v>
      </c>
      <c r="C10" s="30" t="s">
        <v>245</v>
      </c>
      <c r="D10" s="30" t="s">
        <v>245</v>
      </c>
      <c r="E10" s="30" t="s">
        <v>245</v>
      </c>
      <c r="F10" s="30" t="s">
        <v>334</v>
      </c>
      <c r="G10" s="30" t="s">
        <v>245</v>
      </c>
      <c r="H10" s="30" t="s">
        <v>245</v>
      </c>
      <c r="I10" s="30" t="s">
        <v>2823</v>
      </c>
      <c r="K10" s="30" t="s">
        <v>335</v>
      </c>
      <c r="L10" s="30" t="s">
        <v>336</v>
      </c>
      <c r="M10" s="30" t="s">
        <v>245</v>
      </c>
      <c r="N10" s="30" t="s">
        <v>245</v>
      </c>
      <c r="O10" s="30" t="s">
        <v>245</v>
      </c>
      <c r="P10" s="30" t="s">
        <v>245</v>
      </c>
      <c r="Q10" s="30" t="s">
        <v>337</v>
      </c>
      <c r="R10" s="30" t="s">
        <v>338</v>
      </c>
      <c r="S10" s="30" t="s">
        <v>339</v>
      </c>
      <c r="T10" s="30" t="s">
        <v>340</v>
      </c>
      <c r="U10" s="30" t="s">
        <v>341</v>
      </c>
      <c r="V10" s="30" t="s">
        <v>245</v>
      </c>
      <c r="W10" s="30" t="s">
        <v>245</v>
      </c>
      <c r="X10" s="30" t="s">
        <v>245</v>
      </c>
      <c r="Y10" s="30" t="s">
        <v>245</v>
      </c>
      <c r="Z10" s="30" t="s">
        <v>245</v>
      </c>
      <c r="AA10" s="30" t="s">
        <v>245</v>
      </c>
      <c r="AB10" s="30" t="s">
        <v>245</v>
      </c>
      <c r="AC10" s="30" t="s">
        <v>342</v>
      </c>
      <c r="AD10" s="30" t="s">
        <v>245</v>
      </c>
      <c r="AE10" s="30" t="s">
        <v>245</v>
      </c>
      <c r="AF10" s="30" t="s">
        <v>245</v>
      </c>
      <c r="AG10" s="30" t="s">
        <v>245</v>
      </c>
      <c r="AH10" s="30" t="s">
        <v>245</v>
      </c>
      <c r="AI10" s="30" t="s">
        <v>245</v>
      </c>
      <c r="AJ10" s="30" t="s">
        <v>245</v>
      </c>
      <c r="AK10" s="30" t="s">
        <v>245</v>
      </c>
      <c r="AL10" s="30" t="s">
        <v>245</v>
      </c>
      <c r="AM10" s="30" t="s">
        <v>245</v>
      </c>
      <c r="AN10" s="30" t="s">
        <v>245</v>
      </c>
      <c r="AO10" s="30" t="s">
        <v>245</v>
      </c>
      <c r="AP10" s="30" t="s">
        <v>245</v>
      </c>
      <c r="AQ10" s="30" t="s">
        <v>343</v>
      </c>
      <c r="AR10" s="30" t="s">
        <v>344</v>
      </c>
      <c r="AS10" s="30" t="s">
        <v>245</v>
      </c>
      <c r="AT10" s="30" t="s">
        <v>245</v>
      </c>
      <c r="AU10" s="30" t="s">
        <v>245</v>
      </c>
      <c r="AV10" s="30" t="s">
        <v>245</v>
      </c>
      <c r="AW10" s="30">
        <v>1997</v>
      </c>
      <c r="AX10" s="30">
        <v>49</v>
      </c>
      <c r="AY10" s="30" t="s">
        <v>345</v>
      </c>
      <c r="AZ10" s="30" t="s">
        <v>245</v>
      </c>
      <c r="BA10" s="30" t="s">
        <v>245</v>
      </c>
      <c r="BB10" s="30" t="s">
        <v>245</v>
      </c>
      <c r="BC10" s="30" t="s">
        <v>245</v>
      </c>
      <c r="BD10" s="30">
        <v>23</v>
      </c>
      <c r="BE10" s="30">
        <v>28</v>
      </c>
      <c r="BF10" s="30" t="s">
        <v>245</v>
      </c>
      <c r="BG10" s="30" t="s">
        <v>346</v>
      </c>
      <c r="BH10" s="30" t="str">
        <f>HYPERLINK("http://dx.doi.org/10.1023/A:1009779514395","http://dx.doi.org/10.1023/A:1009779514395")</f>
        <v>http://dx.doi.org/10.1023/A:1009779514395</v>
      </c>
      <c r="BI10" s="30" t="s">
        <v>245</v>
      </c>
      <c r="BJ10" s="30" t="s">
        <v>245</v>
      </c>
      <c r="BK10" s="30" t="s">
        <v>245</v>
      </c>
      <c r="BL10" s="30" t="s">
        <v>245</v>
      </c>
      <c r="BM10" s="30" t="s">
        <v>245</v>
      </c>
      <c r="BN10" s="30" t="s">
        <v>245</v>
      </c>
      <c r="BO10" s="30" t="s">
        <v>245</v>
      </c>
      <c r="BP10" s="30" t="s">
        <v>245</v>
      </c>
      <c r="BQ10" s="30" t="s">
        <v>245</v>
      </c>
      <c r="BR10" s="30" t="s">
        <v>245</v>
      </c>
      <c r="BS10" s="30" t="s">
        <v>245</v>
      </c>
      <c r="BT10" s="30" t="s">
        <v>245</v>
      </c>
      <c r="BU10" s="30" t="s">
        <v>347</v>
      </c>
      <c r="BV10" s="30" t="str">
        <f>HYPERLINK("https%3A%2F%2Fwww.webofscience.com%2Fwos%2Fwoscc%2Ffull-record%2FWOS:A1997XY55300005","View Full Record in Web of Science")</f>
        <v>View Full Record in Web of Science</v>
      </c>
    </row>
    <row r="11" spans="1:74" x14ac:dyDescent="0.2">
      <c r="A11" s="30" t="s">
        <v>243</v>
      </c>
      <c r="B11" s="30" t="s">
        <v>348</v>
      </c>
      <c r="C11" s="30" t="s">
        <v>245</v>
      </c>
      <c r="D11" s="30" t="s">
        <v>245</v>
      </c>
      <c r="E11" s="30" t="s">
        <v>245</v>
      </c>
      <c r="F11" s="30" t="s">
        <v>348</v>
      </c>
      <c r="G11" s="30" t="s">
        <v>245</v>
      </c>
      <c r="H11" s="30" t="s">
        <v>245</v>
      </c>
      <c r="I11" s="30" t="s">
        <v>2823</v>
      </c>
      <c r="K11" s="30" t="s">
        <v>349</v>
      </c>
      <c r="L11" s="30" t="s">
        <v>350</v>
      </c>
      <c r="M11" s="30" t="s">
        <v>245</v>
      </c>
      <c r="N11" s="30" t="s">
        <v>245</v>
      </c>
      <c r="O11" s="30" t="s">
        <v>245</v>
      </c>
      <c r="P11" s="30" t="s">
        <v>245</v>
      </c>
      <c r="Q11" s="30" t="s">
        <v>245</v>
      </c>
      <c r="R11" s="30" t="s">
        <v>245</v>
      </c>
      <c r="S11" s="30" t="s">
        <v>245</v>
      </c>
      <c r="T11" s="30" t="s">
        <v>245</v>
      </c>
      <c r="U11" s="30" t="s">
        <v>245</v>
      </c>
      <c r="V11" s="30" t="s">
        <v>245</v>
      </c>
      <c r="W11" s="30" t="s">
        <v>245</v>
      </c>
      <c r="X11" s="30" t="s">
        <v>245</v>
      </c>
      <c r="Y11" s="30" t="s">
        <v>245</v>
      </c>
      <c r="Z11" s="30" t="s">
        <v>245</v>
      </c>
      <c r="AA11" s="30" t="s">
        <v>245</v>
      </c>
      <c r="AB11" s="30" t="s">
        <v>245</v>
      </c>
      <c r="AC11" s="30" t="s">
        <v>351</v>
      </c>
      <c r="AD11" s="30" t="s">
        <v>245</v>
      </c>
      <c r="AE11" s="30" t="s">
        <v>245</v>
      </c>
      <c r="AF11" s="30" t="s">
        <v>245</v>
      </c>
      <c r="AG11" s="30" t="s">
        <v>245</v>
      </c>
      <c r="AH11" s="30" t="s">
        <v>245</v>
      </c>
      <c r="AI11" s="30" t="s">
        <v>245</v>
      </c>
      <c r="AJ11" s="30" t="s">
        <v>245</v>
      </c>
      <c r="AK11" s="30" t="s">
        <v>245</v>
      </c>
      <c r="AL11" s="30" t="s">
        <v>245</v>
      </c>
      <c r="AM11" s="30" t="s">
        <v>245</v>
      </c>
      <c r="AN11" s="30" t="s">
        <v>245</v>
      </c>
      <c r="AO11" s="30" t="s">
        <v>245</v>
      </c>
      <c r="AP11" s="30" t="s">
        <v>245</v>
      </c>
      <c r="AQ11" s="30" t="s">
        <v>352</v>
      </c>
      <c r="AR11" s="30" t="s">
        <v>353</v>
      </c>
      <c r="AS11" s="30" t="s">
        <v>245</v>
      </c>
      <c r="AT11" s="30" t="s">
        <v>245</v>
      </c>
      <c r="AU11" s="30" t="s">
        <v>245</v>
      </c>
      <c r="AV11" s="30" t="s">
        <v>354</v>
      </c>
      <c r="AW11" s="30">
        <v>2003</v>
      </c>
      <c r="AX11" s="30">
        <v>51</v>
      </c>
      <c r="AY11" s="30">
        <v>3</v>
      </c>
      <c r="AZ11" s="30" t="s">
        <v>245</v>
      </c>
      <c r="BA11" s="30" t="s">
        <v>245</v>
      </c>
      <c r="BB11" s="30" t="s">
        <v>245</v>
      </c>
      <c r="BC11" s="30" t="s">
        <v>245</v>
      </c>
      <c r="BD11" s="30">
        <v>181</v>
      </c>
      <c r="BE11" s="30">
        <v>195</v>
      </c>
      <c r="BF11" s="30" t="s">
        <v>245</v>
      </c>
      <c r="BG11" s="30" t="s">
        <v>355</v>
      </c>
      <c r="BH11" s="30" t="str">
        <f>HYPERLINK("http://dx.doi.org/10.1016/S0045-6535(02)00822-6","http://dx.doi.org/10.1016/S0045-6535(02)00822-6")</f>
        <v>http://dx.doi.org/10.1016/S0045-6535(02)00822-6</v>
      </c>
      <c r="BI11" s="30" t="s">
        <v>245</v>
      </c>
      <c r="BJ11" s="30" t="s">
        <v>245</v>
      </c>
      <c r="BK11" s="30" t="s">
        <v>245</v>
      </c>
      <c r="BL11" s="30" t="s">
        <v>245</v>
      </c>
      <c r="BM11" s="30" t="s">
        <v>245</v>
      </c>
      <c r="BN11" s="30" t="s">
        <v>245</v>
      </c>
      <c r="BO11" s="30" t="s">
        <v>245</v>
      </c>
      <c r="BP11" s="30">
        <v>12591251</v>
      </c>
      <c r="BQ11" s="30" t="s">
        <v>245</v>
      </c>
      <c r="BR11" s="30" t="s">
        <v>245</v>
      </c>
      <c r="BS11" s="30" t="s">
        <v>245</v>
      </c>
      <c r="BT11" s="30" t="s">
        <v>245</v>
      </c>
      <c r="BU11" s="30" t="s">
        <v>356</v>
      </c>
      <c r="BV11" s="30" t="str">
        <f>HYPERLINK("https%3A%2F%2Fwww.webofscience.com%2Fwos%2Fwoscc%2Ffull-record%2FWOS:000181240400003","View Full Record in Web of Science")</f>
        <v>View Full Record in Web of Science</v>
      </c>
    </row>
    <row r="12" spans="1:74" x14ac:dyDescent="0.2">
      <c r="A12" s="30" t="s">
        <v>243</v>
      </c>
      <c r="B12" s="30" t="s">
        <v>357</v>
      </c>
      <c r="C12" s="30" t="s">
        <v>245</v>
      </c>
      <c r="D12" s="30" t="s">
        <v>245</v>
      </c>
      <c r="E12" s="30" t="s">
        <v>245</v>
      </c>
      <c r="F12" s="30" t="s">
        <v>357</v>
      </c>
      <c r="G12" s="30" t="s">
        <v>245</v>
      </c>
      <c r="H12" s="30" t="s">
        <v>245</v>
      </c>
      <c r="I12" s="30" t="s">
        <v>2819</v>
      </c>
      <c r="K12" s="30" t="s">
        <v>358</v>
      </c>
      <c r="L12" s="30" t="s">
        <v>304</v>
      </c>
      <c r="M12" s="30" t="s">
        <v>245</v>
      </c>
      <c r="N12" s="30" t="s">
        <v>245</v>
      </c>
      <c r="O12" s="30" t="s">
        <v>245</v>
      </c>
      <c r="P12" s="30" t="s">
        <v>245</v>
      </c>
      <c r="Q12" s="30" t="s">
        <v>245</v>
      </c>
      <c r="R12" s="30" t="s">
        <v>245</v>
      </c>
      <c r="S12" s="30" t="s">
        <v>245</v>
      </c>
      <c r="T12" s="30" t="s">
        <v>245</v>
      </c>
      <c r="U12" s="30" t="s">
        <v>245</v>
      </c>
      <c r="V12" s="30" t="s">
        <v>245</v>
      </c>
      <c r="W12" s="30" t="s">
        <v>245</v>
      </c>
      <c r="X12" s="30" t="s">
        <v>245</v>
      </c>
      <c r="Y12" s="30" t="s">
        <v>245</v>
      </c>
      <c r="Z12" s="30" t="s">
        <v>245</v>
      </c>
      <c r="AA12" s="30" t="s">
        <v>245</v>
      </c>
      <c r="AB12" s="30" t="s">
        <v>245</v>
      </c>
      <c r="AC12" s="30" t="s">
        <v>245</v>
      </c>
      <c r="AD12" s="30" t="s">
        <v>245</v>
      </c>
      <c r="AE12" s="30" t="s">
        <v>245</v>
      </c>
      <c r="AF12" s="30" t="s">
        <v>245</v>
      </c>
      <c r="AG12" s="30" t="s">
        <v>245</v>
      </c>
      <c r="AH12" s="30" t="s">
        <v>245</v>
      </c>
      <c r="AI12" s="30" t="s">
        <v>245</v>
      </c>
      <c r="AJ12" s="30" t="s">
        <v>245</v>
      </c>
      <c r="AK12" s="30" t="s">
        <v>245</v>
      </c>
      <c r="AL12" s="30" t="s">
        <v>245</v>
      </c>
      <c r="AM12" s="30" t="s">
        <v>245</v>
      </c>
      <c r="AN12" s="30" t="s">
        <v>245</v>
      </c>
      <c r="AO12" s="30" t="s">
        <v>245</v>
      </c>
      <c r="AP12" s="30" t="s">
        <v>245</v>
      </c>
      <c r="AQ12" s="30" t="s">
        <v>307</v>
      </c>
      <c r="AR12" s="30" t="s">
        <v>308</v>
      </c>
      <c r="AS12" s="30" t="s">
        <v>245</v>
      </c>
      <c r="AT12" s="30" t="s">
        <v>245</v>
      </c>
      <c r="AU12" s="30" t="s">
        <v>245</v>
      </c>
      <c r="AV12" s="30" t="s">
        <v>354</v>
      </c>
      <c r="AW12" s="30">
        <v>2006</v>
      </c>
      <c r="AX12" s="30">
        <v>52</v>
      </c>
      <c r="AY12" s="30">
        <v>2</v>
      </c>
      <c r="AZ12" s="30" t="s">
        <v>245</v>
      </c>
      <c r="BA12" s="30" t="s">
        <v>245</v>
      </c>
      <c r="BB12" s="30" t="s">
        <v>245</v>
      </c>
      <c r="BC12" s="30" t="s">
        <v>245</v>
      </c>
      <c r="BD12" s="30">
        <v>226</v>
      </c>
      <c r="BE12" s="30">
        <v>232</v>
      </c>
      <c r="BF12" s="30" t="s">
        <v>245</v>
      </c>
      <c r="BG12" s="30" t="s">
        <v>359</v>
      </c>
      <c r="BH12" s="30" t="str">
        <f>HYPERLINK("http://dx.doi.org/10.1111/j.1747-0765.2006.00018.x","http://dx.doi.org/10.1111/j.1747-0765.2006.00018.x")</f>
        <v>http://dx.doi.org/10.1111/j.1747-0765.2006.00018.x</v>
      </c>
      <c r="BI12" s="30" t="s">
        <v>245</v>
      </c>
      <c r="BJ12" s="30" t="s">
        <v>245</v>
      </c>
      <c r="BK12" s="30" t="s">
        <v>245</v>
      </c>
      <c r="BL12" s="30" t="s">
        <v>245</v>
      </c>
      <c r="BM12" s="30" t="s">
        <v>245</v>
      </c>
      <c r="BN12" s="30" t="s">
        <v>245</v>
      </c>
      <c r="BO12" s="30" t="s">
        <v>245</v>
      </c>
      <c r="BP12" s="30" t="s">
        <v>245</v>
      </c>
      <c r="BQ12" s="30" t="s">
        <v>245</v>
      </c>
      <c r="BR12" s="30" t="s">
        <v>245</v>
      </c>
      <c r="BS12" s="30" t="s">
        <v>245</v>
      </c>
      <c r="BT12" s="30" t="s">
        <v>245</v>
      </c>
      <c r="BU12" s="30" t="s">
        <v>360</v>
      </c>
      <c r="BV12" s="30" t="str">
        <f>HYPERLINK("https%3A%2F%2Fwww.webofscience.com%2Fwos%2Fwoscc%2Ffull-record%2FWOS:000237258700012","View Full Record in Web of Science")</f>
        <v>View Full Record in Web of Science</v>
      </c>
    </row>
    <row r="13" spans="1:74" x14ac:dyDescent="0.2">
      <c r="A13" s="30" t="s">
        <v>243</v>
      </c>
      <c r="B13" s="30" t="s">
        <v>361</v>
      </c>
      <c r="C13" s="30" t="s">
        <v>245</v>
      </c>
      <c r="D13" s="30" t="s">
        <v>245</v>
      </c>
      <c r="E13" s="30" t="s">
        <v>245</v>
      </c>
      <c r="F13" s="30" t="s">
        <v>361</v>
      </c>
      <c r="G13" s="30" t="s">
        <v>245</v>
      </c>
      <c r="H13" s="30" t="s">
        <v>245</v>
      </c>
      <c r="I13" s="30" t="s">
        <v>2819</v>
      </c>
      <c r="K13" s="30" t="s">
        <v>362</v>
      </c>
      <c r="L13" s="30" t="s">
        <v>363</v>
      </c>
      <c r="M13" s="30" t="s">
        <v>245</v>
      </c>
      <c r="N13" s="30" t="s">
        <v>245</v>
      </c>
      <c r="O13" s="30" t="s">
        <v>245</v>
      </c>
      <c r="P13" s="30" t="s">
        <v>245</v>
      </c>
      <c r="Q13" s="30" t="s">
        <v>245</v>
      </c>
      <c r="R13" s="30" t="s">
        <v>245</v>
      </c>
      <c r="S13" s="30" t="s">
        <v>245</v>
      </c>
      <c r="T13" s="30" t="s">
        <v>245</v>
      </c>
      <c r="U13" s="30" t="s">
        <v>245</v>
      </c>
      <c r="V13" s="30" t="s">
        <v>245</v>
      </c>
      <c r="W13" s="30" t="s">
        <v>245</v>
      </c>
      <c r="X13" s="30" t="s">
        <v>245</v>
      </c>
      <c r="Y13" s="30" t="s">
        <v>245</v>
      </c>
      <c r="Z13" s="30" t="s">
        <v>245</v>
      </c>
      <c r="AA13" s="30" t="s">
        <v>245</v>
      </c>
      <c r="AB13" s="30" t="s">
        <v>245</v>
      </c>
      <c r="AC13" s="30" t="s">
        <v>245</v>
      </c>
      <c r="AD13" s="30" t="s">
        <v>245</v>
      </c>
      <c r="AE13" s="30" t="s">
        <v>245</v>
      </c>
      <c r="AF13" s="30" t="s">
        <v>245</v>
      </c>
      <c r="AG13" s="30" t="s">
        <v>245</v>
      </c>
      <c r="AH13" s="30" t="s">
        <v>245</v>
      </c>
      <c r="AI13" s="30" t="s">
        <v>245</v>
      </c>
      <c r="AJ13" s="30" t="s">
        <v>245</v>
      </c>
      <c r="AK13" s="30" t="s">
        <v>245</v>
      </c>
      <c r="AL13" s="30" t="s">
        <v>245</v>
      </c>
      <c r="AM13" s="30" t="s">
        <v>245</v>
      </c>
      <c r="AN13" s="30" t="s">
        <v>245</v>
      </c>
      <c r="AO13" s="30" t="s">
        <v>245</v>
      </c>
      <c r="AP13" s="30" t="s">
        <v>245</v>
      </c>
      <c r="AQ13" s="30" t="s">
        <v>364</v>
      </c>
      <c r="AR13" s="30" t="s">
        <v>245</v>
      </c>
      <c r="AS13" s="30" t="s">
        <v>245</v>
      </c>
      <c r="AT13" s="30" t="s">
        <v>245</v>
      </c>
      <c r="AU13" s="30" t="s">
        <v>245</v>
      </c>
      <c r="AV13" s="30" t="s">
        <v>365</v>
      </c>
      <c r="AW13" s="30">
        <v>1992</v>
      </c>
      <c r="AX13" s="30">
        <v>38</v>
      </c>
      <c r="AY13" s="30">
        <v>2</v>
      </c>
      <c r="AZ13" s="30" t="s">
        <v>245</v>
      </c>
      <c r="BA13" s="30" t="s">
        <v>245</v>
      </c>
      <c r="BB13" s="30" t="s">
        <v>245</v>
      </c>
      <c r="BC13" s="30" t="s">
        <v>245</v>
      </c>
      <c r="BD13" s="30">
        <v>143</v>
      </c>
      <c r="BE13" s="30">
        <v>148</v>
      </c>
      <c r="BF13" s="30" t="s">
        <v>245</v>
      </c>
      <c r="BG13" s="30" t="s">
        <v>366</v>
      </c>
      <c r="BH13" s="30" t="str">
        <f>HYPERLINK("http://dx.doi.org/10.1139/m92-023","http://dx.doi.org/10.1139/m92-023")</f>
        <v>http://dx.doi.org/10.1139/m92-023</v>
      </c>
      <c r="BI13" s="30" t="s">
        <v>245</v>
      </c>
      <c r="BJ13" s="30" t="s">
        <v>245</v>
      </c>
      <c r="BK13" s="30" t="s">
        <v>245</v>
      </c>
      <c r="BL13" s="30" t="s">
        <v>245</v>
      </c>
      <c r="BM13" s="30" t="s">
        <v>245</v>
      </c>
      <c r="BN13" s="30" t="s">
        <v>245</v>
      </c>
      <c r="BO13" s="30" t="s">
        <v>245</v>
      </c>
      <c r="BP13" s="30" t="s">
        <v>245</v>
      </c>
      <c r="BQ13" s="30" t="s">
        <v>245</v>
      </c>
      <c r="BR13" s="30" t="s">
        <v>245</v>
      </c>
      <c r="BS13" s="30" t="s">
        <v>245</v>
      </c>
      <c r="BT13" s="30" t="s">
        <v>245</v>
      </c>
      <c r="BU13" s="30" t="s">
        <v>367</v>
      </c>
      <c r="BV13" s="30" t="str">
        <f>HYPERLINK("https%3A%2F%2Fwww.webofscience.com%2Fwos%2Fwoscc%2Ffull-record%2FWOS:A1992HR30500010","View Full Record in Web of Science")</f>
        <v>View Full Record in Web of Science</v>
      </c>
    </row>
    <row r="14" spans="1:74" x14ac:dyDescent="0.2">
      <c r="A14" s="30" t="s">
        <v>243</v>
      </c>
      <c r="B14" s="30" t="s">
        <v>368</v>
      </c>
      <c r="C14" s="30" t="s">
        <v>245</v>
      </c>
      <c r="D14" s="30" t="s">
        <v>245</v>
      </c>
      <c r="E14" s="30" t="s">
        <v>245</v>
      </c>
      <c r="F14" s="30" t="s">
        <v>368</v>
      </c>
      <c r="G14" s="30" t="s">
        <v>245</v>
      </c>
      <c r="H14" s="30" t="s">
        <v>245</v>
      </c>
      <c r="I14" s="30" t="s">
        <v>2822</v>
      </c>
      <c r="K14" s="30" t="s">
        <v>369</v>
      </c>
      <c r="L14" s="30" t="s">
        <v>282</v>
      </c>
      <c r="M14" s="30" t="s">
        <v>245</v>
      </c>
      <c r="N14" s="30" t="s">
        <v>245</v>
      </c>
      <c r="O14" s="30" t="s">
        <v>245</v>
      </c>
      <c r="P14" s="30" t="s">
        <v>245</v>
      </c>
      <c r="Q14" s="30" t="s">
        <v>245</v>
      </c>
      <c r="R14" s="30" t="s">
        <v>245</v>
      </c>
      <c r="S14" s="30" t="s">
        <v>245</v>
      </c>
      <c r="T14" s="30" t="s">
        <v>245</v>
      </c>
      <c r="U14" s="30" t="s">
        <v>245</v>
      </c>
      <c r="V14" s="30" t="s">
        <v>245</v>
      </c>
      <c r="W14" s="30" t="s">
        <v>245</v>
      </c>
      <c r="X14" s="30" t="s">
        <v>245</v>
      </c>
      <c r="Y14" s="30" t="s">
        <v>245</v>
      </c>
      <c r="Z14" s="30" t="s">
        <v>245</v>
      </c>
      <c r="AA14" s="30" t="s">
        <v>245</v>
      </c>
      <c r="AB14" s="30" t="s">
        <v>245</v>
      </c>
      <c r="AC14" s="30" t="s">
        <v>245</v>
      </c>
      <c r="AD14" s="30" t="s">
        <v>245</v>
      </c>
      <c r="AE14" s="30" t="s">
        <v>245</v>
      </c>
      <c r="AF14" s="30" t="s">
        <v>245</v>
      </c>
      <c r="AG14" s="30" t="s">
        <v>245</v>
      </c>
      <c r="AH14" s="30" t="s">
        <v>245</v>
      </c>
      <c r="AI14" s="30" t="s">
        <v>245</v>
      </c>
      <c r="AJ14" s="30" t="s">
        <v>245</v>
      </c>
      <c r="AK14" s="30" t="s">
        <v>245</v>
      </c>
      <c r="AL14" s="30" t="s">
        <v>245</v>
      </c>
      <c r="AM14" s="30" t="s">
        <v>245</v>
      </c>
      <c r="AN14" s="30" t="s">
        <v>245</v>
      </c>
      <c r="AO14" s="30" t="s">
        <v>245</v>
      </c>
      <c r="AP14" s="30" t="s">
        <v>245</v>
      </c>
      <c r="AQ14" s="30" t="s">
        <v>285</v>
      </c>
      <c r="AR14" s="30" t="s">
        <v>370</v>
      </c>
      <c r="AS14" s="30" t="s">
        <v>245</v>
      </c>
      <c r="AT14" s="30" t="s">
        <v>245</v>
      </c>
      <c r="AU14" s="30" t="s">
        <v>245</v>
      </c>
      <c r="AV14" s="30" t="s">
        <v>354</v>
      </c>
      <c r="AW14" s="30">
        <v>2004</v>
      </c>
      <c r="AX14" s="30">
        <v>36</v>
      </c>
      <c r="AY14" s="30">
        <v>4</v>
      </c>
      <c r="AZ14" s="30" t="s">
        <v>245</v>
      </c>
      <c r="BA14" s="30" t="s">
        <v>245</v>
      </c>
      <c r="BB14" s="30" t="s">
        <v>245</v>
      </c>
      <c r="BC14" s="30" t="s">
        <v>245</v>
      </c>
      <c r="BD14" s="30">
        <v>687</v>
      </c>
      <c r="BE14" s="30">
        <v>699</v>
      </c>
      <c r="BF14" s="30" t="s">
        <v>245</v>
      </c>
      <c r="BG14" s="30" t="s">
        <v>371</v>
      </c>
      <c r="BH14" s="30" t="str">
        <f>HYPERLINK("http://dx.doi.org/10.1016/j.soilbio.2004.01.004","http://dx.doi.org/10.1016/j.soilbio.2004.01.004")</f>
        <v>http://dx.doi.org/10.1016/j.soilbio.2004.01.004</v>
      </c>
      <c r="BI14" s="30" t="s">
        <v>245</v>
      </c>
      <c r="BJ14" s="30" t="s">
        <v>245</v>
      </c>
      <c r="BK14" s="30" t="s">
        <v>245</v>
      </c>
      <c r="BL14" s="30" t="s">
        <v>245</v>
      </c>
      <c r="BM14" s="30" t="s">
        <v>245</v>
      </c>
      <c r="BN14" s="30" t="s">
        <v>245</v>
      </c>
      <c r="BO14" s="30" t="s">
        <v>245</v>
      </c>
      <c r="BP14" s="30" t="s">
        <v>245</v>
      </c>
      <c r="BQ14" s="30" t="s">
        <v>245</v>
      </c>
      <c r="BR14" s="30" t="s">
        <v>245</v>
      </c>
      <c r="BS14" s="30" t="s">
        <v>245</v>
      </c>
      <c r="BT14" s="30" t="s">
        <v>245</v>
      </c>
      <c r="BU14" s="30" t="s">
        <v>372</v>
      </c>
      <c r="BV14" s="30" t="str">
        <f>HYPERLINK("https%3A%2F%2Fwww.webofscience.com%2Fwos%2Fwoscc%2Ffull-record%2FWOS:000220786200013","View Full Record in Web of Science")</f>
        <v>View Full Record in Web of Science</v>
      </c>
    </row>
    <row r="15" spans="1:74" x14ac:dyDescent="0.2">
      <c r="A15" s="30" t="s">
        <v>243</v>
      </c>
      <c r="B15" s="30" t="s">
        <v>373</v>
      </c>
      <c r="C15" s="30" t="s">
        <v>245</v>
      </c>
      <c r="D15" s="30" t="s">
        <v>245</v>
      </c>
      <c r="E15" s="30" t="s">
        <v>245</v>
      </c>
      <c r="F15" s="30" t="s">
        <v>374</v>
      </c>
      <c r="G15" s="30" t="s">
        <v>245</v>
      </c>
      <c r="H15" s="30" t="s">
        <v>245</v>
      </c>
      <c r="I15" s="30" t="s">
        <v>2822</v>
      </c>
      <c r="K15" s="30" t="s">
        <v>375</v>
      </c>
      <c r="L15" s="30" t="s">
        <v>376</v>
      </c>
      <c r="M15" s="30" t="s">
        <v>245</v>
      </c>
      <c r="N15" s="30" t="s">
        <v>245</v>
      </c>
      <c r="O15" s="30" t="s">
        <v>245</v>
      </c>
      <c r="P15" s="30" t="s">
        <v>245</v>
      </c>
      <c r="Q15" s="30" t="s">
        <v>377</v>
      </c>
      <c r="R15" s="30" t="s">
        <v>378</v>
      </c>
      <c r="S15" s="30" t="s">
        <v>379</v>
      </c>
      <c r="T15" s="30" t="s">
        <v>245</v>
      </c>
      <c r="U15" s="30" t="s">
        <v>245</v>
      </c>
      <c r="V15" s="30" t="s">
        <v>245</v>
      </c>
      <c r="W15" s="30" t="s">
        <v>245</v>
      </c>
      <c r="X15" s="30" t="s">
        <v>245</v>
      </c>
      <c r="Y15" s="30" t="s">
        <v>245</v>
      </c>
      <c r="Z15" s="30" t="s">
        <v>245</v>
      </c>
      <c r="AA15" s="30" t="s">
        <v>245</v>
      </c>
      <c r="AB15" s="30" t="s">
        <v>245</v>
      </c>
      <c r="AC15" s="30" t="s">
        <v>380</v>
      </c>
      <c r="AD15" s="30" t="s">
        <v>381</v>
      </c>
      <c r="AE15" s="30" t="s">
        <v>245</v>
      </c>
      <c r="AF15" s="30" t="s">
        <v>245</v>
      </c>
      <c r="AG15" s="30" t="s">
        <v>245</v>
      </c>
      <c r="AH15" s="30" t="s">
        <v>245</v>
      </c>
      <c r="AI15" s="30" t="s">
        <v>245</v>
      </c>
      <c r="AJ15" s="30" t="s">
        <v>245</v>
      </c>
      <c r="AK15" s="30" t="s">
        <v>245</v>
      </c>
      <c r="AL15" s="30" t="s">
        <v>245</v>
      </c>
      <c r="AM15" s="30" t="s">
        <v>245</v>
      </c>
      <c r="AN15" s="30" t="s">
        <v>245</v>
      </c>
      <c r="AO15" s="30" t="s">
        <v>245</v>
      </c>
      <c r="AP15" s="30" t="s">
        <v>245</v>
      </c>
      <c r="AQ15" s="30" t="s">
        <v>382</v>
      </c>
      <c r="AR15" s="30" t="s">
        <v>383</v>
      </c>
      <c r="AS15" s="30" t="s">
        <v>245</v>
      </c>
      <c r="AT15" s="30" t="s">
        <v>245</v>
      </c>
      <c r="AU15" s="30" t="s">
        <v>245</v>
      </c>
      <c r="AV15" s="30" t="s">
        <v>384</v>
      </c>
      <c r="AW15" s="30">
        <v>2010</v>
      </c>
      <c r="AX15" s="30">
        <v>150</v>
      </c>
      <c r="AY15" s="30">
        <v>6</v>
      </c>
      <c r="AZ15" s="30" t="s">
        <v>245</v>
      </c>
      <c r="BA15" s="30" t="s">
        <v>245</v>
      </c>
      <c r="BB15" s="30" t="s">
        <v>298</v>
      </c>
      <c r="BC15" s="30" t="s">
        <v>245</v>
      </c>
      <c r="BD15" s="30">
        <v>748</v>
      </c>
      <c r="BE15" s="30">
        <v>756</v>
      </c>
      <c r="BF15" s="30" t="s">
        <v>245</v>
      </c>
      <c r="BG15" s="30" t="s">
        <v>385</v>
      </c>
      <c r="BH15" s="30" t="str">
        <f>HYPERLINK("http://dx.doi.org/10.1016/j.agrformet.2009.06.018","http://dx.doi.org/10.1016/j.agrformet.2009.06.018")</f>
        <v>http://dx.doi.org/10.1016/j.agrformet.2009.06.018</v>
      </c>
      <c r="BI15" s="30" t="s">
        <v>245</v>
      </c>
      <c r="BJ15" s="30" t="s">
        <v>245</v>
      </c>
      <c r="BK15" s="30" t="s">
        <v>245</v>
      </c>
      <c r="BL15" s="30" t="s">
        <v>245</v>
      </c>
      <c r="BM15" s="30" t="s">
        <v>245</v>
      </c>
      <c r="BN15" s="30" t="s">
        <v>245</v>
      </c>
      <c r="BO15" s="30" t="s">
        <v>245</v>
      </c>
      <c r="BP15" s="30" t="s">
        <v>245</v>
      </c>
      <c r="BQ15" s="30" t="s">
        <v>245</v>
      </c>
      <c r="BR15" s="30" t="s">
        <v>245</v>
      </c>
      <c r="BS15" s="30" t="s">
        <v>245</v>
      </c>
      <c r="BT15" s="30" t="s">
        <v>245</v>
      </c>
      <c r="BU15" s="30" t="s">
        <v>386</v>
      </c>
      <c r="BV15" s="30" t="str">
        <f>HYPERLINK("https%3A%2F%2Fwww.webofscience.com%2Fwos%2Fwoscc%2Ffull-record%2FWOS:000280076400002","View Full Record in Web of Science")</f>
        <v>View Full Record in Web of Science</v>
      </c>
    </row>
    <row r="16" spans="1:74" x14ac:dyDescent="0.2">
      <c r="A16" s="30" t="s">
        <v>243</v>
      </c>
      <c r="B16" s="30" t="s">
        <v>387</v>
      </c>
      <c r="C16" s="30" t="s">
        <v>245</v>
      </c>
      <c r="D16" s="30" t="s">
        <v>245</v>
      </c>
      <c r="E16" s="30" t="s">
        <v>245</v>
      </c>
      <c r="F16" s="30" t="s">
        <v>388</v>
      </c>
      <c r="G16" s="30" t="s">
        <v>245</v>
      </c>
      <c r="H16" s="30" t="s">
        <v>245</v>
      </c>
      <c r="I16" s="30" t="s">
        <v>2821</v>
      </c>
      <c r="K16" s="30" t="s">
        <v>389</v>
      </c>
      <c r="L16" s="30" t="s">
        <v>390</v>
      </c>
      <c r="M16" s="30" t="s">
        <v>245</v>
      </c>
      <c r="N16" s="30" t="s">
        <v>245</v>
      </c>
      <c r="O16" s="30" t="s">
        <v>245</v>
      </c>
      <c r="P16" s="30" t="s">
        <v>245</v>
      </c>
      <c r="Q16" s="30" t="s">
        <v>245</v>
      </c>
      <c r="R16" s="30" t="s">
        <v>245</v>
      </c>
      <c r="S16" s="30" t="s">
        <v>245</v>
      </c>
      <c r="T16" s="30" t="s">
        <v>245</v>
      </c>
      <c r="U16" s="30" t="s">
        <v>245</v>
      </c>
      <c r="V16" s="30" t="s">
        <v>245</v>
      </c>
      <c r="W16" s="30" t="s">
        <v>245</v>
      </c>
      <c r="X16" s="30" t="s">
        <v>245</v>
      </c>
      <c r="Y16" s="30" t="s">
        <v>245</v>
      </c>
      <c r="Z16" s="30" t="s">
        <v>245</v>
      </c>
      <c r="AA16" s="30" t="s">
        <v>245</v>
      </c>
      <c r="AB16" s="30" t="s">
        <v>245</v>
      </c>
      <c r="AC16" s="30" t="s">
        <v>391</v>
      </c>
      <c r="AD16" s="30" t="s">
        <v>392</v>
      </c>
      <c r="AE16" s="30" t="s">
        <v>245</v>
      </c>
      <c r="AF16" s="30" t="s">
        <v>245</v>
      </c>
      <c r="AG16" s="30" t="s">
        <v>245</v>
      </c>
      <c r="AH16" s="30" t="s">
        <v>245</v>
      </c>
      <c r="AI16" s="30" t="s">
        <v>245</v>
      </c>
      <c r="AJ16" s="30" t="s">
        <v>245</v>
      </c>
      <c r="AK16" s="30" t="s">
        <v>245</v>
      </c>
      <c r="AL16" s="30" t="s">
        <v>245</v>
      </c>
      <c r="AM16" s="30" t="s">
        <v>245</v>
      </c>
      <c r="AN16" s="30" t="s">
        <v>245</v>
      </c>
      <c r="AO16" s="30" t="s">
        <v>245</v>
      </c>
      <c r="AP16" s="30" t="s">
        <v>245</v>
      </c>
      <c r="AQ16" s="30" t="s">
        <v>393</v>
      </c>
      <c r="AR16" s="30" t="s">
        <v>394</v>
      </c>
      <c r="AS16" s="30" t="s">
        <v>245</v>
      </c>
      <c r="AT16" s="30" t="s">
        <v>245</v>
      </c>
      <c r="AU16" s="30" t="s">
        <v>245</v>
      </c>
      <c r="AV16" s="30" t="s">
        <v>395</v>
      </c>
      <c r="AW16" s="30">
        <v>2021</v>
      </c>
      <c r="AX16" s="30">
        <v>167</v>
      </c>
      <c r="AY16" s="30" t="s">
        <v>245</v>
      </c>
      <c r="AZ16" s="30" t="s">
        <v>245</v>
      </c>
      <c r="BA16" s="30" t="s">
        <v>245</v>
      </c>
      <c r="BB16" s="30" t="s">
        <v>245</v>
      </c>
      <c r="BC16" s="30" t="s">
        <v>245</v>
      </c>
      <c r="BD16" s="30" t="s">
        <v>245</v>
      </c>
      <c r="BE16" s="30" t="s">
        <v>245</v>
      </c>
      <c r="BF16" s="30">
        <v>113561</v>
      </c>
      <c r="BG16" s="30" t="s">
        <v>396</v>
      </c>
      <c r="BH16" s="30" t="str">
        <f>HYPERLINK("http://dx.doi.org/10.1016/j.indcrop.2021.113561","http://dx.doi.org/10.1016/j.indcrop.2021.113561")</f>
        <v>http://dx.doi.org/10.1016/j.indcrop.2021.113561</v>
      </c>
      <c r="BI16" s="30" t="s">
        <v>245</v>
      </c>
      <c r="BJ16" s="30" t="s">
        <v>397</v>
      </c>
      <c r="BK16" s="30" t="s">
        <v>245</v>
      </c>
      <c r="BL16" s="30" t="s">
        <v>245</v>
      </c>
      <c r="BM16" s="30" t="s">
        <v>245</v>
      </c>
      <c r="BN16" s="30" t="s">
        <v>245</v>
      </c>
      <c r="BO16" s="30" t="s">
        <v>245</v>
      </c>
      <c r="BP16" s="30" t="s">
        <v>245</v>
      </c>
      <c r="BQ16" s="30" t="s">
        <v>245</v>
      </c>
      <c r="BR16" s="30" t="s">
        <v>245</v>
      </c>
      <c r="BS16" s="30" t="s">
        <v>245</v>
      </c>
      <c r="BT16" s="30" t="s">
        <v>245</v>
      </c>
      <c r="BU16" s="30" t="s">
        <v>398</v>
      </c>
      <c r="BV16" s="30" t="str">
        <f>HYPERLINK("https%3A%2F%2Fwww.webofscience.com%2Fwos%2Fwoscc%2Ffull-record%2FWOS:000652531900002","View Full Record in Web of Science")</f>
        <v>View Full Record in Web of Science</v>
      </c>
    </row>
    <row r="17" spans="1:74" x14ac:dyDescent="0.2">
      <c r="A17" s="30" t="s">
        <v>243</v>
      </c>
      <c r="B17" s="30" t="s">
        <v>399</v>
      </c>
      <c r="C17" s="30" t="s">
        <v>245</v>
      </c>
      <c r="D17" s="30" t="s">
        <v>245</v>
      </c>
      <c r="E17" s="30" t="s">
        <v>245</v>
      </c>
      <c r="F17" s="30" t="s">
        <v>400</v>
      </c>
      <c r="G17" s="30" t="s">
        <v>245</v>
      </c>
      <c r="H17" s="30" t="s">
        <v>245</v>
      </c>
      <c r="I17" s="30" t="s">
        <v>2819</v>
      </c>
      <c r="K17" s="30" t="s">
        <v>401</v>
      </c>
      <c r="L17" s="30" t="s">
        <v>402</v>
      </c>
      <c r="M17" s="30" t="s">
        <v>245</v>
      </c>
      <c r="N17" s="30" t="s">
        <v>245</v>
      </c>
      <c r="O17" s="30" t="s">
        <v>245</v>
      </c>
      <c r="P17" s="30" t="s">
        <v>245</v>
      </c>
      <c r="Q17" s="30" t="s">
        <v>245</v>
      </c>
      <c r="R17" s="30" t="s">
        <v>245</v>
      </c>
      <c r="S17" s="30" t="s">
        <v>245</v>
      </c>
      <c r="T17" s="30" t="s">
        <v>245</v>
      </c>
      <c r="U17" s="30" t="s">
        <v>245</v>
      </c>
      <c r="V17" s="30" t="s">
        <v>245</v>
      </c>
      <c r="W17" s="30" t="s">
        <v>245</v>
      </c>
      <c r="X17" s="30" t="s">
        <v>245</v>
      </c>
      <c r="Y17" s="30" t="s">
        <v>245</v>
      </c>
      <c r="Z17" s="30" t="s">
        <v>245</v>
      </c>
      <c r="AA17" s="30" t="s">
        <v>245</v>
      </c>
      <c r="AB17" s="30" t="s">
        <v>245</v>
      </c>
      <c r="AC17" s="30" t="s">
        <v>403</v>
      </c>
      <c r="AD17" s="30" t="s">
        <v>404</v>
      </c>
      <c r="AE17" s="30" t="s">
        <v>245</v>
      </c>
      <c r="AF17" s="30" t="s">
        <v>245</v>
      </c>
      <c r="AG17" s="30" t="s">
        <v>245</v>
      </c>
      <c r="AH17" s="30" t="s">
        <v>245</v>
      </c>
      <c r="AI17" s="30" t="s">
        <v>245</v>
      </c>
      <c r="AJ17" s="30" t="s">
        <v>245</v>
      </c>
      <c r="AK17" s="30" t="s">
        <v>245</v>
      </c>
      <c r="AL17" s="30" t="s">
        <v>245</v>
      </c>
      <c r="AM17" s="30" t="s">
        <v>245</v>
      </c>
      <c r="AN17" s="30" t="s">
        <v>245</v>
      </c>
      <c r="AO17" s="30" t="s">
        <v>245</v>
      </c>
      <c r="AP17" s="30" t="s">
        <v>245</v>
      </c>
      <c r="AQ17" s="30" t="s">
        <v>405</v>
      </c>
      <c r="AR17" s="30" t="s">
        <v>406</v>
      </c>
      <c r="AS17" s="30" t="s">
        <v>245</v>
      </c>
      <c r="AT17" s="30" t="s">
        <v>245</v>
      </c>
      <c r="AU17" s="30" t="s">
        <v>245</v>
      </c>
      <c r="AV17" s="30" t="s">
        <v>365</v>
      </c>
      <c r="AW17" s="30">
        <v>2022</v>
      </c>
      <c r="AX17" s="30">
        <v>22</v>
      </c>
      <c r="AY17" s="30">
        <v>2</v>
      </c>
      <c r="AZ17" s="30" t="s">
        <v>245</v>
      </c>
      <c r="BA17" s="30" t="s">
        <v>245</v>
      </c>
      <c r="BB17" s="30" t="s">
        <v>245</v>
      </c>
      <c r="BC17" s="30" t="s">
        <v>245</v>
      </c>
      <c r="BD17" s="30">
        <v>617</v>
      </c>
      <c r="BE17" s="30">
        <v>629</v>
      </c>
      <c r="BF17" s="30" t="s">
        <v>245</v>
      </c>
      <c r="BG17" s="30" t="s">
        <v>407</v>
      </c>
      <c r="BH17" s="30" t="str">
        <f>HYPERLINK("http://dx.doi.org/10.1007/s11368-021-03093-9","http://dx.doi.org/10.1007/s11368-021-03093-9")</f>
        <v>http://dx.doi.org/10.1007/s11368-021-03093-9</v>
      </c>
      <c r="BI17" s="30" t="s">
        <v>245</v>
      </c>
      <c r="BJ17" s="30" t="s">
        <v>408</v>
      </c>
      <c r="BK17" s="30" t="s">
        <v>245</v>
      </c>
      <c r="BL17" s="30" t="s">
        <v>245</v>
      </c>
      <c r="BM17" s="30" t="s">
        <v>245</v>
      </c>
      <c r="BN17" s="30" t="s">
        <v>245</v>
      </c>
      <c r="BO17" s="30" t="s">
        <v>245</v>
      </c>
      <c r="BP17" s="30" t="s">
        <v>245</v>
      </c>
      <c r="BQ17" s="30" t="s">
        <v>245</v>
      </c>
      <c r="BR17" s="30" t="s">
        <v>245</v>
      </c>
      <c r="BS17" s="30" t="s">
        <v>245</v>
      </c>
      <c r="BT17" s="30" t="s">
        <v>245</v>
      </c>
      <c r="BU17" s="30" t="s">
        <v>409</v>
      </c>
      <c r="BV17" s="30" t="str">
        <f>HYPERLINK("https%3A%2F%2Fwww.webofscience.com%2Fwos%2Fwoscc%2Ffull-record%2FWOS:000708759100001","View Full Record in Web of Science")</f>
        <v>View Full Record in Web of Science</v>
      </c>
    </row>
    <row r="18" spans="1:74" x14ac:dyDescent="0.2">
      <c r="A18" s="30" t="s">
        <v>243</v>
      </c>
      <c r="B18" s="30" t="s">
        <v>410</v>
      </c>
      <c r="C18" s="30" t="s">
        <v>245</v>
      </c>
      <c r="D18" s="30" t="s">
        <v>245</v>
      </c>
      <c r="E18" s="30" t="s">
        <v>245</v>
      </c>
      <c r="F18" s="30" t="s">
        <v>411</v>
      </c>
      <c r="G18" s="30" t="s">
        <v>245</v>
      </c>
      <c r="H18" s="30" t="s">
        <v>245</v>
      </c>
      <c r="I18" s="30" t="s">
        <v>2823</v>
      </c>
      <c r="K18" s="30" t="s">
        <v>412</v>
      </c>
      <c r="L18" s="30" t="s">
        <v>413</v>
      </c>
      <c r="M18" s="30" t="s">
        <v>245</v>
      </c>
      <c r="N18" s="30" t="s">
        <v>245</v>
      </c>
      <c r="O18" s="30" t="s">
        <v>245</v>
      </c>
      <c r="P18" s="30" t="s">
        <v>245</v>
      </c>
      <c r="Q18" s="30" t="s">
        <v>245</v>
      </c>
      <c r="R18" s="30" t="s">
        <v>245</v>
      </c>
      <c r="S18" s="30" t="s">
        <v>245</v>
      </c>
      <c r="T18" s="30" t="s">
        <v>245</v>
      </c>
      <c r="U18" s="30" t="s">
        <v>245</v>
      </c>
      <c r="V18" s="30" t="s">
        <v>245</v>
      </c>
      <c r="W18" s="30" t="s">
        <v>245</v>
      </c>
      <c r="X18" s="30" t="s">
        <v>245</v>
      </c>
      <c r="Y18" s="30" t="s">
        <v>245</v>
      </c>
      <c r="Z18" s="30" t="s">
        <v>245</v>
      </c>
      <c r="AA18" s="30" t="s">
        <v>245</v>
      </c>
      <c r="AB18" s="30" t="s">
        <v>245</v>
      </c>
      <c r="AC18" s="30" t="s">
        <v>414</v>
      </c>
      <c r="AD18" s="30" t="s">
        <v>415</v>
      </c>
      <c r="AE18" s="30" t="s">
        <v>245</v>
      </c>
      <c r="AF18" s="30" t="s">
        <v>245</v>
      </c>
      <c r="AG18" s="30" t="s">
        <v>245</v>
      </c>
      <c r="AH18" s="30" t="s">
        <v>245</v>
      </c>
      <c r="AI18" s="30" t="s">
        <v>245</v>
      </c>
      <c r="AJ18" s="30" t="s">
        <v>245</v>
      </c>
      <c r="AK18" s="30" t="s">
        <v>245</v>
      </c>
      <c r="AL18" s="30" t="s">
        <v>245</v>
      </c>
      <c r="AM18" s="30" t="s">
        <v>245</v>
      </c>
      <c r="AN18" s="30" t="s">
        <v>245</v>
      </c>
      <c r="AO18" s="30" t="s">
        <v>245</v>
      </c>
      <c r="AP18" s="30" t="s">
        <v>245</v>
      </c>
      <c r="AQ18" s="30" t="s">
        <v>416</v>
      </c>
      <c r="AR18" s="30" t="s">
        <v>417</v>
      </c>
      <c r="AS18" s="30" t="s">
        <v>245</v>
      </c>
      <c r="AT18" s="30" t="s">
        <v>245</v>
      </c>
      <c r="AU18" s="30" t="s">
        <v>245</v>
      </c>
      <c r="AV18" s="30" t="s">
        <v>418</v>
      </c>
      <c r="AW18" s="30">
        <v>2014</v>
      </c>
      <c r="AX18" s="30">
        <v>466</v>
      </c>
      <c r="AY18" s="30" t="s">
        <v>245</v>
      </c>
      <c r="AZ18" s="30" t="s">
        <v>245</v>
      </c>
      <c r="BA18" s="30" t="s">
        <v>245</v>
      </c>
      <c r="BB18" s="30" t="s">
        <v>245</v>
      </c>
      <c r="BC18" s="30" t="s">
        <v>245</v>
      </c>
      <c r="BD18" s="30">
        <v>663</v>
      </c>
      <c r="BE18" s="30">
        <v>672</v>
      </c>
      <c r="BF18" s="30" t="s">
        <v>245</v>
      </c>
      <c r="BG18" s="30" t="s">
        <v>419</v>
      </c>
      <c r="BH18" s="30" t="str">
        <f>HYPERLINK("http://dx.doi.org/10.1016/j.scitotenv.2013.07.083","http://dx.doi.org/10.1016/j.scitotenv.2013.07.083")</f>
        <v>http://dx.doi.org/10.1016/j.scitotenv.2013.07.083</v>
      </c>
      <c r="BI18" s="30" t="s">
        <v>245</v>
      </c>
      <c r="BJ18" s="30" t="s">
        <v>245</v>
      </c>
      <c r="BK18" s="30" t="s">
        <v>245</v>
      </c>
      <c r="BL18" s="30" t="s">
        <v>245</v>
      </c>
      <c r="BM18" s="30" t="s">
        <v>245</v>
      </c>
      <c r="BN18" s="30" t="s">
        <v>245</v>
      </c>
      <c r="BO18" s="30" t="s">
        <v>245</v>
      </c>
      <c r="BP18" s="30">
        <v>23962436</v>
      </c>
      <c r="BQ18" s="30" t="s">
        <v>245</v>
      </c>
      <c r="BR18" s="30" t="s">
        <v>245</v>
      </c>
      <c r="BS18" s="30" t="s">
        <v>245</v>
      </c>
      <c r="BT18" s="30" t="s">
        <v>245</v>
      </c>
      <c r="BU18" s="30" t="s">
        <v>420</v>
      </c>
      <c r="BV18" s="30" t="str">
        <f>HYPERLINK("https%3A%2F%2Fwww.webofscience.com%2Fwos%2Fwoscc%2Ffull-record%2FWOS:000330491600070","View Full Record in Web of Science")</f>
        <v>View Full Record in Web of Science</v>
      </c>
    </row>
    <row r="19" spans="1:74" x14ac:dyDescent="0.2">
      <c r="A19" s="30" t="s">
        <v>243</v>
      </c>
      <c r="B19" s="30" t="s">
        <v>421</v>
      </c>
      <c r="C19" s="30" t="s">
        <v>245</v>
      </c>
      <c r="D19" s="30" t="s">
        <v>245</v>
      </c>
      <c r="E19" s="30" t="s">
        <v>245</v>
      </c>
      <c r="F19" s="30" t="s">
        <v>422</v>
      </c>
      <c r="G19" s="30" t="s">
        <v>245</v>
      </c>
      <c r="H19" s="30" t="s">
        <v>245</v>
      </c>
      <c r="I19" s="30" t="s">
        <v>2822</v>
      </c>
      <c r="K19" s="30" t="s">
        <v>423</v>
      </c>
      <c r="L19" s="30" t="s">
        <v>413</v>
      </c>
      <c r="M19" s="30" t="s">
        <v>245</v>
      </c>
      <c r="N19" s="30" t="s">
        <v>245</v>
      </c>
      <c r="O19" s="30" t="s">
        <v>245</v>
      </c>
      <c r="P19" s="30" t="s">
        <v>245</v>
      </c>
      <c r="Q19" s="30" t="s">
        <v>245</v>
      </c>
      <c r="R19" s="30" t="s">
        <v>245</v>
      </c>
      <c r="S19" s="30" t="s">
        <v>245</v>
      </c>
      <c r="T19" s="30" t="s">
        <v>245</v>
      </c>
      <c r="U19" s="30" t="s">
        <v>245</v>
      </c>
      <c r="V19" s="30" t="s">
        <v>245</v>
      </c>
      <c r="W19" s="30" t="s">
        <v>245</v>
      </c>
      <c r="X19" s="30" t="s">
        <v>245</v>
      </c>
      <c r="Y19" s="30" t="s">
        <v>245</v>
      </c>
      <c r="Z19" s="30" t="s">
        <v>245</v>
      </c>
      <c r="AA19" s="30" t="s">
        <v>245</v>
      </c>
      <c r="AB19" s="30" t="s">
        <v>245</v>
      </c>
      <c r="AC19" s="30" t="s">
        <v>424</v>
      </c>
      <c r="AD19" s="30" t="s">
        <v>245</v>
      </c>
      <c r="AE19" s="30" t="s">
        <v>245</v>
      </c>
      <c r="AF19" s="30" t="s">
        <v>245</v>
      </c>
      <c r="AG19" s="30" t="s">
        <v>245</v>
      </c>
      <c r="AH19" s="30" t="s">
        <v>245</v>
      </c>
      <c r="AI19" s="30" t="s">
        <v>245</v>
      </c>
      <c r="AJ19" s="30" t="s">
        <v>245</v>
      </c>
      <c r="AK19" s="30" t="s">
        <v>245</v>
      </c>
      <c r="AL19" s="30" t="s">
        <v>245</v>
      </c>
      <c r="AM19" s="30" t="s">
        <v>245</v>
      </c>
      <c r="AN19" s="30" t="s">
        <v>245</v>
      </c>
      <c r="AO19" s="30" t="s">
        <v>245</v>
      </c>
      <c r="AP19" s="30" t="s">
        <v>245</v>
      </c>
      <c r="AQ19" s="30" t="s">
        <v>416</v>
      </c>
      <c r="AR19" s="30" t="s">
        <v>417</v>
      </c>
      <c r="AS19" s="30" t="s">
        <v>245</v>
      </c>
      <c r="AT19" s="30" t="s">
        <v>245</v>
      </c>
      <c r="AU19" s="30" t="s">
        <v>245</v>
      </c>
      <c r="AV19" s="30" t="s">
        <v>425</v>
      </c>
      <c r="AW19" s="30">
        <v>2022</v>
      </c>
      <c r="AX19" s="30">
        <v>818</v>
      </c>
      <c r="AY19" s="30" t="s">
        <v>245</v>
      </c>
      <c r="AZ19" s="30" t="s">
        <v>245</v>
      </c>
      <c r="BA19" s="30" t="s">
        <v>245</v>
      </c>
      <c r="BB19" s="30" t="s">
        <v>245</v>
      </c>
      <c r="BC19" s="30" t="s">
        <v>245</v>
      </c>
      <c r="BD19" s="30" t="s">
        <v>245</v>
      </c>
      <c r="BE19" s="30" t="s">
        <v>245</v>
      </c>
      <c r="BF19" s="30">
        <v>151766</v>
      </c>
      <c r="BG19" s="30" t="s">
        <v>426</v>
      </c>
      <c r="BH19" s="30" t="str">
        <f>HYPERLINK("http://dx.doi.org/10.1016/j.scitotenv.2021.151766","http://dx.doi.org/10.1016/j.scitotenv.2021.151766")</f>
        <v>http://dx.doi.org/10.1016/j.scitotenv.2021.151766</v>
      </c>
      <c r="BI19" s="30" t="s">
        <v>245</v>
      </c>
      <c r="BJ19" s="30" t="s">
        <v>427</v>
      </c>
      <c r="BK19" s="30" t="s">
        <v>245</v>
      </c>
      <c r="BL19" s="30" t="s">
        <v>245</v>
      </c>
      <c r="BM19" s="30" t="s">
        <v>245</v>
      </c>
      <c r="BN19" s="30" t="s">
        <v>245</v>
      </c>
      <c r="BO19" s="30" t="s">
        <v>245</v>
      </c>
      <c r="BP19" s="30">
        <v>34801506</v>
      </c>
      <c r="BQ19" s="30" t="s">
        <v>245</v>
      </c>
      <c r="BR19" s="30" t="s">
        <v>245</v>
      </c>
      <c r="BS19" s="30" t="s">
        <v>245</v>
      </c>
      <c r="BT19" s="30" t="s">
        <v>245</v>
      </c>
      <c r="BU19" s="30" t="s">
        <v>428</v>
      </c>
      <c r="BV19" s="30" t="str">
        <f>HYPERLINK("https%3A%2F%2Fwww.webofscience.com%2Fwos%2Fwoscc%2Ffull-record%2FWOS:000789651100003","View Full Record in Web of Science")</f>
        <v>View Full Record in Web of Science</v>
      </c>
    </row>
    <row r="20" spans="1:74" x14ac:dyDescent="0.2">
      <c r="A20" s="30" t="s">
        <v>243</v>
      </c>
      <c r="B20" s="30" t="s">
        <v>429</v>
      </c>
      <c r="C20" s="30" t="s">
        <v>245</v>
      </c>
      <c r="D20" s="30" t="s">
        <v>245</v>
      </c>
      <c r="E20" s="30" t="s">
        <v>245</v>
      </c>
      <c r="F20" s="30" t="s">
        <v>430</v>
      </c>
      <c r="G20" s="30" t="s">
        <v>245</v>
      </c>
      <c r="H20" s="30" t="s">
        <v>245</v>
      </c>
      <c r="I20" s="30" t="s">
        <v>2819</v>
      </c>
      <c r="K20" s="30" t="s">
        <v>431</v>
      </c>
      <c r="L20" s="30" t="s">
        <v>432</v>
      </c>
      <c r="M20" s="30" t="s">
        <v>245</v>
      </c>
      <c r="N20" s="30" t="s">
        <v>245</v>
      </c>
      <c r="O20" s="30" t="s">
        <v>245</v>
      </c>
      <c r="P20" s="30" t="s">
        <v>245</v>
      </c>
      <c r="Q20" s="30" t="s">
        <v>245</v>
      </c>
      <c r="R20" s="30" t="s">
        <v>245</v>
      </c>
      <c r="S20" s="30" t="s">
        <v>245</v>
      </c>
      <c r="T20" s="30" t="s">
        <v>245</v>
      </c>
      <c r="U20" s="30" t="s">
        <v>245</v>
      </c>
      <c r="V20" s="30" t="s">
        <v>245</v>
      </c>
      <c r="W20" s="30" t="s">
        <v>245</v>
      </c>
      <c r="X20" s="30" t="s">
        <v>245</v>
      </c>
      <c r="Y20" s="30" t="s">
        <v>245</v>
      </c>
      <c r="Z20" s="30" t="s">
        <v>245</v>
      </c>
      <c r="AA20" s="30" t="s">
        <v>245</v>
      </c>
      <c r="AB20" s="30" t="s">
        <v>245</v>
      </c>
      <c r="AC20" s="30" t="s">
        <v>245</v>
      </c>
      <c r="AD20" s="30" t="s">
        <v>245</v>
      </c>
      <c r="AE20" s="30" t="s">
        <v>245</v>
      </c>
      <c r="AF20" s="30" t="s">
        <v>245</v>
      </c>
      <c r="AG20" s="30" t="s">
        <v>245</v>
      </c>
      <c r="AH20" s="30" t="s">
        <v>245</v>
      </c>
      <c r="AI20" s="30" t="s">
        <v>245</v>
      </c>
      <c r="AJ20" s="30" t="s">
        <v>245</v>
      </c>
      <c r="AK20" s="30" t="s">
        <v>245</v>
      </c>
      <c r="AL20" s="30" t="s">
        <v>245</v>
      </c>
      <c r="AM20" s="30" t="s">
        <v>245</v>
      </c>
      <c r="AN20" s="30" t="s">
        <v>245</v>
      </c>
      <c r="AO20" s="30" t="s">
        <v>245</v>
      </c>
      <c r="AP20" s="30" t="s">
        <v>245</v>
      </c>
      <c r="AQ20" s="30" t="s">
        <v>433</v>
      </c>
      <c r="AR20" s="30" t="s">
        <v>434</v>
      </c>
      <c r="AS20" s="30" t="s">
        <v>245</v>
      </c>
      <c r="AT20" s="30" t="s">
        <v>245</v>
      </c>
      <c r="AU20" s="30" t="s">
        <v>245</v>
      </c>
      <c r="AV20" s="30" t="s">
        <v>435</v>
      </c>
      <c r="AW20" s="30">
        <v>2011</v>
      </c>
      <c r="AX20" s="30">
        <v>342</v>
      </c>
      <c r="AY20" s="30" t="s">
        <v>436</v>
      </c>
      <c r="AZ20" s="30" t="s">
        <v>245</v>
      </c>
      <c r="BA20" s="30" t="s">
        <v>245</v>
      </c>
      <c r="BB20" s="30" t="s">
        <v>245</v>
      </c>
      <c r="BC20" s="30" t="s">
        <v>245</v>
      </c>
      <c r="BD20" s="30">
        <v>345</v>
      </c>
      <c r="BE20" s="30">
        <v>357</v>
      </c>
      <c r="BF20" s="30" t="s">
        <v>245</v>
      </c>
      <c r="BG20" s="30" t="s">
        <v>437</v>
      </c>
      <c r="BH20" s="30" t="str">
        <f>HYPERLINK("http://dx.doi.org/10.1007/s11104-010-0699-1","http://dx.doi.org/10.1007/s11104-010-0699-1")</f>
        <v>http://dx.doi.org/10.1007/s11104-010-0699-1</v>
      </c>
      <c r="BI20" s="30" t="s">
        <v>245</v>
      </c>
      <c r="BJ20" s="30" t="s">
        <v>245</v>
      </c>
      <c r="BK20" s="30" t="s">
        <v>245</v>
      </c>
      <c r="BL20" s="30" t="s">
        <v>245</v>
      </c>
      <c r="BM20" s="30" t="s">
        <v>245</v>
      </c>
      <c r="BN20" s="30" t="s">
        <v>245</v>
      </c>
      <c r="BO20" s="30" t="s">
        <v>245</v>
      </c>
      <c r="BP20" s="30" t="s">
        <v>245</v>
      </c>
      <c r="BQ20" s="30" t="s">
        <v>245</v>
      </c>
      <c r="BR20" s="30" t="s">
        <v>245</v>
      </c>
      <c r="BS20" s="30" t="s">
        <v>245</v>
      </c>
      <c r="BT20" s="30" t="s">
        <v>245</v>
      </c>
      <c r="BU20" s="30" t="s">
        <v>438</v>
      </c>
      <c r="BV20" s="30" t="str">
        <f>HYPERLINK("https%3A%2F%2Fwww.webofscience.com%2Fwos%2Fwoscc%2Ffull-record%2FWOS:000289562000027","View Full Record in Web of Science")</f>
        <v>View Full Record in Web of Science</v>
      </c>
    </row>
    <row r="21" spans="1:74" x14ac:dyDescent="0.2">
      <c r="A21" s="30" t="s">
        <v>243</v>
      </c>
      <c r="B21" s="30" t="s">
        <v>439</v>
      </c>
      <c r="C21" s="30" t="s">
        <v>245</v>
      </c>
      <c r="D21" s="30" t="s">
        <v>245</v>
      </c>
      <c r="E21" s="30" t="s">
        <v>245</v>
      </c>
      <c r="F21" s="30" t="s">
        <v>440</v>
      </c>
      <c r="G21" s="30" t="s">
        <v>245</v>
      </c>
      <c r="H21" s="30" t="s">
        <v>245</v>
      </c>
      <c r="I21" s="30" t="s">
        <v>2821</v>
      </c>
      <c r="K21" s="30" t="s">
        <v>441</v>
      </c>
      <c r="L21" s="30" t="s">
        <v>271</v>
      </c>
      <c r="M21" s="30" t="s">
        <v>245</v>
      </c>
      <c r="N21" s="30" t="s">
        <v>245</v>
      </c>
      <c r="O21" s="30" t="s">
        <v>245</v>
      </c>
      <c r="P21" s="30" t="s">
        <v>245</v>
      </c>
      <c r="Q21" s="30" t="s">
        <v>245</v>
      </c>
      <c r="R21" s="30" t="s">
        <v>245</v>
      </c>
      <c r="S21" s="30" t="s">
        <v>245</v>
      </c>
      <c r="T21" s="30" t="s">
        <v>245</v>
      </c>
      <c r="U21" s="30" t="s">
        <v>245</v>
      </c>
      <c r="V21" s="30" t="s">
        <v>245</v>
      </c>
      <c r="W21" s="30" t="s">
        <v>245</v>
      </c>
      <c r="X21" s="30" t="s">
        <v>245</v>
      </c>
      <c r="Y21" s="30" t="s">
        <v>245</v>
      </c>
      <c r="Z21" s="30" t="s">
        <v>245</v>
      </c>
      <c r="AA21" s="30" t="s">
        <v>245</v>
      </c>
      <c r="AB21" s="30" t="s">
        <v>245</v>
      </c>
      <c r="AC21" s="30" t="s">
        <v>442</v>
      </c>
      <c r="AD21" s="30" t="s">
        <v>443</v>
      </c>
      <c r="AE21" s="30" t="s">
        <v>245</v>
      </c>
      <c r="AF21" s="30" t="s">
        <v>245</v>
      </c>
      <c r="AG21" s="30" t="s">
        <v>245</v>
      </c>
      <c r="AH21" s="30" t="s">
        <v>245</v>
      </c>
      <c r="AI21" s="30" t="s">
        <v>245</v>
      </c>
      <c r="AJ21" s="30" t="s">
        <v>245</v>
      </c>
      <c r="AK21" s="30" t="s">
        <v>245</v>
      </c>
      <c r="AL21" s="30" t="s">
        <v>245</v>
      </c>
      <c r="AM21" s="30" t="s">
        <v>245</v>
      </c>
      <c r="AN21" s="30" t="s">
        <v>245</v>
      </c>
      <c r="AO21" s="30" t="s">
        <v>245</v>
      </c>
      <c r="AP21" s="30" t="s">
        <v>245</v>
      </c>
      <c r="AQ21" s="30" t="s">
        <v>274</v>
      </c>
      <c r="AR21" s="30" t="s">
        <v>275</v>
      </c>
      <c r="AS21" s="30" t="s">
        <v>245</v>
      </c>
      <c r="AT21" s="30" t="s">
        <v>245</v>
      </c>
      <c r="AU21" s="30" t="s">
        <v>245</v>
      </c>
      <c r="AV21" s="30" t="s">
        <v>444</v>
      </c>
      <c r="AW21" s="30">
        <v>2015</v>
      </c>
      <c r="AX21" s="30">
        <v>49</v>
      </c>
      <c r="AY21" s="30">
        <v>18</v>
      </c>
      <c r="AZ21" s="30" t="s">
        <v>245</v>
      </c>
      <c r="BA21" s="30" t="s">
        <v>245</v>
      </c>
      <c r="BB21" s="30" t="s">
        <v>245</v>
      </c>
      <c r="BC21" s="30" t="s">
        <v>245</v>
      </c>
      <c r="BD21" s="30">
        <v>11209</v>
      </c>
      <c r="BE21" s="30">
        <v>11217</v>
      </c>
      <c r="BF21" s="30" t="s">
        <v>245</v>
      </c>
      <c r="BG21" s="30" t="s">
        <v>445</v>
      </c>
      <c r="BH21" s="30" t="str">
        <f>HYPERLINK("http://dx.doi.org/10.1021/acs.est.5b01504","http://dx.doi.org/10.1021/acs.est.5b01504")</f>
        <v>http://dx.doi.org/10.1021/acs.est.5b01504</v>
      </c>
      <c r="BI21" s="30" t="s">
        <v>245</v>
      </c>
      <c r="BJ21" s="30" t="s">
        <v>245</v>
      </c>
      <c r="BK21" s="30" t="s">
        <v>245</v>
      </c>
      <c r="BL21" s="30" t="s">
        <v>245</v>
      </c>
      <c r="BM21" s="30" t="s">
        <v>245</v>
      </c>
      <c r="BN21" s="30" t="s">
        <v>245</v>
      </c>
      <c r="BO21" s="30" t="s">
        <v>245</v>
      </c>
      <c r="BP21" s="30">
        <v>26295867</v>
      </c>
      <c r="BQ21" s="30" t="s">
        <v>245</v>
      </c>
      <c r="BR21" s="30" t="s">
        <v>245</v>
      </c>
      <c r="BS21" s="30" t="s">
        <v>245</v>
      </c>
      <c r="BT21" s="30" t="s">
        <v>245</v>
      </c>
      <c r="BU21" s="30" t="s">
        <v>446</v>
      </c>
      <c r="BV21" s="30" t="str">
        <f>HYPERLINK("https%3A%2F%2Fwww.webofscience.com%2Fwos%2Fwoscc%2Ffull-record%2FWOS:000361415800054","View Full Record in Web of Science")</f>
        <v>View Full Record in Web of Science</v>
      </c>
    </row>
    <row r="22" spans="1:74" x14ac:dyDescent="0.2">
      <c r="A22" s="30" t="s">
        <v>243</v>
      </c>
      <c r="B22" s="30" t="s">
        <v>447</v>
      </c>
      <c r="C22" s="30" t="s">
        <v>245</v>
      </c>
      <c r="D22" s="30" t="s">
        <v>245</v>
      </c>
      <c r="E22" s="30" t="s">
        <v>245</v>
      </c>
      <c r="F22" s="30" t="s">
        <v>448</v>
      </c>
      <c r="G22" s="30" t="s">
        <v>245</v>
      </c>
      <c r="H22" s="30" t="s">
        <v>245</v>
      </c>
      <c r="I22" s="30" t="s">
        <v>2822</v>
      </c>
      <c r="K22" s="30" t="s">
        <v>449</v>
      </c>
      <c r="L22" s="30" t="s">
        <v>450</v>
      </c>
      <c r="M22" s="30" t="s">
        <v>245</v>
      </c>
      <c r="N22" s="30" t="s">
        <v>245</v>
      </c>
      <c r="O22" s="30" t="s">
        <v>245</v>
      </c>
      <c r="P22" s="30" t="s">
        <v>245</v>
      </c>
      <c r="Q22" s="30" t="s">
        <v>245</v>
      </c>
      <c r="R22" s="30" t="s">
        <v>245</v>
      </c>
      <c r="S22" s="30" t="s">
        <v>245</v>
      </c>
      <c r="T22" s="30" t="s">
        <v>245</v>
      </c>
      <c r="U22" s="30" t="s">
        <v>245</v>
      </c>
      <c r="V22" s="30" t="s">
        <v>245</v>
      </c>
      <c r="W22" s="30" t="s">
        <v>245</v>
      </c>
      <c r="X22" s="30" t="s">
        <v>245</v>
      </c>
      <c r="Y22" s="30" t="s">
        <v>245</v>
      </c>
      <c r="Z22" s="30" t="s">
        <v>245</v>
      </c>
      <c r="AA22" s="30" t="s">
        <v>245</v>
      </c>
      <c r="AB22" s="30" t="s">
        <v>245</v>
      </c>
      <c r="AC22" s="30" t="s">
        <v>245</v>
      </c>
      <c r="AD22" s="30" t="s">
        <v>451</v>
      </c>
      <c r="AE22" s="30" t="s">
        <v>245</v>
      </c>
      <c r="AF22" s="30" t="s">
        <v>245</v>
      </c>
      <c r="AG22" s="30" t="s">
        <v>245</v>
      </c>
      <c r="AH22" s="30" t="s">
        <v>245</v>
      </c>
      <c r="AI22" s="30" t="s">
        <v>245</v>
      </c>
      <c r="AJ22" s="30" t="s">
        <v>245</v>
      </c>
      <c r="AK22" s="30" t="s">
        <v>245</v>
      </c>
      <c r="AL22" s="30" t="s">
        <v>245</v>
      </c>
      <c r="AM22" s="30" t="s">
        <v>245</v>
      </c>
      <c r="AN22" s="30" t="s">
        <v>245</v>
      </c>
      <c r="AO22" s="30" t="s">
        <v>245</v>
      </c>
      <c r="AP22" s="30" t="s">
        <v>245</v>
      </c>
      <c r="AQ22" s="30" t="s">
        <v>452</v>
      </c>
      <c r="AR22" s="30" t="s">
        <v>453</v>
      </c>
      <c r="AS22" s="30" t="s">
        <v>245</v>
      </c>
      <c r="AT22" s="30" t="s">
        <v>245</v>
      </c>
      <c r="AU22" s="30" t="s">
        <v>245</v>
      </c>
      <c r="AV22" s="30" t="s">
        <v>454</v>
      </c>
      <c r="AW22" s="30">
        <v>2015</v>
      </c>
      <c r="AX22" s="30">
        <v>82</v>
      </c>
      <c r="AY22" s="30" t="s">
        <v>245</v>
      </c>
      <c r="AZ22" s="30" t="s">
        <v>245</v>
      </c>
      <c r="BA22" s="30" t="s">
        <v>245</v>
      </c>
      <c r="BB22" s="30" t="s">
        <v>245</v>
      </c>
      <c r="BC22" s="30" t="s">
        <v>245</v>
      </c>
      <c r="BD22" s="30">
        <v>605</v>
      </c>
      <c r="BE22" s="30">
        <v>613</v>
      </c>
      <c r="BF22" s="30" t="s">
        <v>245</v>
      </c>
      <c r="BG22" s="30" t="s">
        <v>455</v>
      </c>
      <c r="BH22" s="30" t="str">
        <f>HYPERLINK("http://dx.doi.org/10.1016/j.ecoleng.2015.05.008","http://dx.doi.org/10.1016/j.ecoleng.2015.05.008")</f>
        <v>http://dx.doi.org/10.1016/j.ecoleng.2015.05.008</v>
      </c>
      <c r="BI22" s="30" t="s">
        <v>245</v>
      </c>
      <c r="BJ22" s="30" t="s">
        <v>245</v>
      </c>
      <c r="BK22" s="30" t="s">
        <v>245</v>
      </c>
      <c r="BL22" s="30" t="s">
        <v>245</v>
      </c>
      <c r="BM22" s="30" t="s">
        <v>245</v>
      </c>
      <c r="BN22" s="30" t="s">
        <v>245</v>
      </c>
      <c r="BO22" s="30" t="s">
        <v>245</v>
      </c>
      <c r="BP22" s="30" t="s">
        <v>245</v>
      </c>
      <c r="BQ22" s="30" t="s">
        <v>245</v>
      </c>
      <c r="BR22" s="30" t="s">
        <v>245</v>
      </c>
      <c r="BS22" s="30" t="s">
        <v>245</v>
      </c>
      <c r="BT22" s="30" t="s">
        <v>245</v>
      </c>
      <c r="BU22" s="30" t="s">
        <v>456</v>
      </c>
      <c r="BV22" s="30" t="str">
        <f>HYPERLINK("https%3A%2F%2Fwww.webofscience.com%2Fwos%2Fwoscc%2Ffull-record%2FWOS:000360189100071","View Full Record in Web of Science")</f>
        <v>View Full Record in Web of Science</v>
      </c>
    </row>
    <row r="23" spans="1:74" x14ac:dyDescent="0.2">
      <c r="A23" s="30" t="s">
        <v>243</v>
      </c>
      <c r="B23" s="30" t="s">
        <v>457</v>
      </c>
      <c r="C23" s="30" t="s">
        <v>245</v>
      </c>
      <c r="D23" s="30" t="s">
        <v>245</v>
      </c>
      <c r="E23" s="30" t="s">
        <v>245</v>
      </c>
      <c r="F23" s="30" t="s">
        <v>458</v>
      </c>
      <c r="G23" s="30" t="s">
        <v>245</v>
      </c>
      <c r="H23" s="30" t="s">
        <v>245</v>
      </c>
      <c r="I23" s="30" t="s">
        <v>2822</v>
      </c>
      <c r="K23" s="30" t="s">
        <v>459</v>
      </c>
      <c r="L23" s="30" t="s">
        <v>460</v>
      </c>
      <c r="M23" s="30" t="s">
        <v>245</v>
      </c>
      <c r="N23" s="30" t="s">
        <v>245</v>
      </c>
      <c r="O23" s="30" t="s">
        <v>245</v>
      </c>
      <c r="P23" s="30" t="s">
        <v>245</v>
      </c>
      <c r="Q23" s="30" t="s">
        <v>245</v>
      </c>
      <c r="R23" s="30" t="s">
        <v>245</v>
      </c>
      <c r="S23" s="30" t="s">
        <v>245</v>
      </c>
      <c r="T23" s="30" t="s">
        <v>245</v>
      </c>
      <c r="U23" s="30" t="s">
        <v>245</v>
      </c>
      <c r="V23" s="30" t="s">
        <v>245</v>
      </c>
      <c r="W23" s="30" t="s">
        <v>245</v>
      </c>
      <c r="X23" s="30" t="s">
        <v>245</v>
      </c>
      <c r="Y23" s="30" t="s">
        <v>245</v>
      </c>
      <c r="Z23" s="30" t="s">
        <v>245</v>
      </c>
      <c r="AA23" s="30" t="s">
        <v>245</v>
      </c>
      <c r="AB23" s="30" t="s">
        <v>245</v>
      </c>
      <c r="AC23" s="30" t="s">
        <v>461</v>
      </c>
      <c r="AD23" s="30" t="s">
        <v>245</v>
      </c>
      <c r="AE23" s="30" t="s">
        <v>245</v>
      </c>
      <c r="AF23" s="30" t="s">
        <v>245</v>
      </c>
      <c r="AG23" s="30" t="s">
        <v>245</v>
      </c>
      <c r="AH23" s="30" t="s">
        <v>245</v>
      </c>
      <c r="AI23" s="30" t="s">
        <v>245</v>
      </c>
      <c r="AJ23" s="30" t="s">
        <v>245</v>
      </c>
      <c r="AK23" s="30" t="s">
        <v>245</v>
      </c>
      <c r="AL23" s="30" t="s">
        <v>245</v>
      </c>
      <c r="AM23" s="30" t="s">
        <v>245</v>
      </c>
      <c r="AN23" s="30" t="s">
        <v>245</v>
      </c>
      <c r="AO23" s="30" t="s">
        <v>245</v>
      </c>
      <c r="AP23" s="30" t="s">
        <v>245</v>
      </c>
      <c r="AQ23" s="30" t="s">
        <v>462</v>
      </c>
      <c r="AR23" s="30" t="s">
        <v>463</v>
      </c>
      <c r="AS23" s="30" t="s">
        <v>245</v>
      </c>
      <c r="AT23" s="30" t="s">
        <v>245</v>
      </c>
      <c r="AU23" s="30" t="s">
        <v>245</v>
      </c>
      <c r="AV23" s="30" t="s">
        <v>354</v>
      </c>
      <c r="AW23" s="30">
        <v>2008</v>
      </c>
      <c r="AX23" s="30">
        <v>88</v>
      </c>
      <c r="AY23" s="30">
        <v>2</v>
      </c>
      <c r="AZ23" s="30" t="s">
        <v>245</v>
      </c>
      <c r="BA23" s="30" t="s">
        <v>245</v>
      </c>
      <c r="BB23" s="30" t="s">
        <v>298</v>
      </c>
      <c r="BC23" s="30" t="s">
        <v>245</v>
      </c>
      <c r="BD23" s="30">
        <v>145</v>
      </c>
      <c r="BE23" s="30">
        <v>151</v>
      </c>
      <c r="BF23" s="30" t="s">
        <v>245</v>
      </c>
      <c r="BG23" s="30" t="s">
        <v>464</v>
      </c>
      <c r="BH23" s="30" t="str">
        <f>HYPERLINK("http://dx.doi.org/10.4141/CJSS06024","http://dx.doi.org/10.4141/CJSS06024")</f>
        <v>http://dx.doi.org/10.4141/CJSS06024</v>
      </c>
      <c r="BI23" s="30" t="s">
        <v>245</v>
      </c>
      <c r="BJ23" s="30" t="s">
        <v>245</v>
      </c>
      <c r="BK23" s="30" t="s">
        <v>245</v>
      </c>
      <c r="BL23" s="30" t="s">
        <v>245</v>
      </c>
      <c r="BM23" s="30" t="s">
        <v>245</v>
      </c>
      <c r="BN23" s="30" t="s">
        <v>245</v>
      </c>
      <c r="BO23" s="30" t="s">
        <v>245</v>
      </c>
      <c r="BP23" s="30" t="s">
        <v>245</v>
      </c>
      <c r="BQ23" s="30" t="s">
        <v>245</v>
      </c>
      <c r="BR23" s="30" t="s">
        <v>245</v>
      </c>
      <c r="BS23" s="30" t="s">
        <v>245</v>
      </c>
      <c r="BT23" s="30" t="s">
        <v>245</v>
      </c>
      <c r="BU23" s="30" t="s">
        <v>465</v>
      </c>
      <c r="BV23" s="30" t="str">
        <f>HYPERLINK("https%3A%2F%2Fwww.webofscience.com%2Fwos%2Fwoscc%2Ffull-record%2FWOS:000255717800003","View Full Record in Web of Science")</f>
        <v>View Full Record in Web of Science</v>
      </c>
    </row>
    <row r="24" spans="1:74" x14ac:dyDescent="0.2">
      <c r="A24" s="30" t="s">
        <v>243</v>
      </c>
      <c r="B24" s="30" t="s">
        <v>466</v>
      </c>
      <c r="C24" s="30" t="s">
        <v>245</v>
      </c>
      <c r="D24" s="30" t="s">
        <v>245</v>
      </c>
      <c r="E24" s="30" t="s">
        <v>245</v>
      </c>
      <c r="F24" s="30" t="s">
        <v>467</v>
      </c>
      <c r="G24" s="30" t="s">
        <v>245</v>
      </c>
      <c r="H24" s="30" t="s">
        <v>245</v>
      </c>
      <c r="I24" s="30" t="s">
        <v>2821</v>
      </c>
      <c r="K24" s="30" t="s">
        <v>468</v>
      </c>
      <c r="L24" s="30" t="s">
        <v>469</v>
      </c>
      <c r="M24" s="30" t="s">
        <v>245</v>
      </c>
      <c r="N24" s="30" t="s">
        <v>245</v>
      </c>
      <c r="O24" s="30" t="s">
        <v>245</v>
      </c>
      <c r="P24" s="30" t="s">
        <v>245</v>
      </c>
      <c r="Q24" s="30" t="s">
        <v>245</v>
      </c>
      <c r="R24" s="30" t="s">
        <v>245</v>
      </c>
      <c r="S24" s="30" t="s">
        <v>245</v>
      </c>
      <c r="T24" s="30" t="s">
        <v>245</v>
      </c>
      <c r="U24" s="30" t="s">
        <v>245</v>
      </c>
      <c r="V24" s="30" t="s">
        <v>245</v>
      </c>
      <c r="W24" s="30" t="s">
        <v>245</v>
      </c>
      <c r="X24" s="30" t="s">
        <v>245</v>
      </c>
      <c r="Y24" s="30" t="s">
        <v>245</v>
      </c>
      <c r="Z24" s="30" t="s">
        <v>245</v>
      </c>
      <c r="AA24" s="30" t="s">
        <v>245</v>
      </c>
      <c r="AB24" s="30" t="s">
        <v>245</v>
      </c>
      <c r="AC24" s="30" t="s">
        <v>470</v>
      </c>
      <c r="AD24" s="30" t="s">
        <v>471</v>
      </c>
      <c r="AE24" s="30" t="s">
        <v>245</v>
      </c>
      <c r="AF24" s="30" t="s">
        <v>245</v>
      </c>
      <c r="AG24" s="30" t="s">
        <v>245</v>
      </c>
      <c r="AH24" s="30" t="s">
        <v>245</v>
      </c>
      <c r="AI24" s="30" t="s">
        <v>245</v>
      </c>
      <c r="AJ24" s="30" t="s">
        <v>245</v>
      </c>
      <c r="AK24" s="30" t="s">
        <v>245</v>
      </c>
      <c r="AL24" s="30" t="s">
        <v>245</v>
      </c>
      <c r="AM24" s="30" t="s">
        <v>245</v>
      </c>
      <c r="AN24" s="30" t="s">
        <v>245</v>
      </c>
      <c r="AO24" s="30" t="s">
        <v>245</v>
      </c>
      <c r="AP24" s="30" t="s">
        <v>245</v>
      </c>
      <c r="AQ24" s="30" t="s">
        <v>472</v>
      </c>
      <c r="AR24" s="30" t="s">
        <v>473</v>
      </c>
      <c r="AS24" s="30" t="s">
        <v>245</v>
      </c>
      <c r="AT24" s="30" t="s">
        <v>245</v>
      </c>
      <c r="AU24" s="30" t="s">
        <v>245</v>
      </c>
      <c r="AV24" s="30" t="s">
        <v>474</v>
      </c>
      <c r="AW24" s="30">
        <v>2020</v>
      </c>
      <c r="AX24" s="30">
        <v>361</v>
      </c>
      <c r="AY24" s="30" t="s">
        <v>245</v>
      </c>
      <c r="AZ24" s="30" t="s">
        <v>245</v>
      </c>
      <c r="BA24" s="30" t="s">
        <v>245</v>
      </c>
      <c r="BB24" s="30" t="s">
        <v>245</v>
      </c>
      <c r="BC24" s="30" t="s">
        <v>245</v>
      </c>
      <c r="BD24" s="30" t="s">
        <v>245</v>
      </c>
      <c r="BE24" s="30" t="s">
        <v>245</v>
      </c>
      <c r="BF24" s="30">
        <v>114053</v>
      </c>
      <c r="BG24" s="30" t="s">
        <v>475</v>
      </c>
      <c r="BH24" s="30" t="str">
        <f>HYPERLINK("http://dx.doi.org/10.1016/j.geoderma.2019.114053","http://dx.doi.org/10.1016/j.geoderma.2019.114053")</f>
        <v>http://dx.doi.org/10.1016/j.geoderma.2019.114053</v>
      </c>
      <c r="BI24" s="30" t="s">
        <v>245</v>
      </c>
      <c r="BJ24" s="30" t="s">
        <v>245</v>
      </c>
      <c r="BK24" s="30" t="s">
        <v>245</v>
      </c>
      <c r="BL24" s="30" t="s">
        <v>245</v>
      </c>
      <c r="BM24" s="30" t="s">
        <v>245</v>
      </c>
      <c r="BN24" s="30" t="s">
        <v>245</v>
      </c>
      <c r="BO24" s="30" t="s">
        <v>245</v>
      </c>
      <c r="BP24" s="30" t="s">
        <v>245</v>
      </c>
      <c r="BQ24" s="30" t="s">
        <v>245</v>
      </c>
      <c r="BR24" s="30" t="s">
        <v>245</v>
      </c>
      <c r="BS24" s="30" t="s">
        <v>245</v>
      </c>
      <c r="BT24" s="30" t="s">
        <v>245</v>
      </c>
      <c r="BU24" s="30" t="s">
        <v>476</v>
      </c>
      <c r="BV24" s="30" t="str">
        <f>HYPERLINK("https%3A%2F%2Fwww.webofscience.com%2Fwos%2Fwoscc%2Ffull-record%2FWOS:000510804700037","View Full Record in Web of Science")</f>
        <v>View Full Record in Web of Science</v>
      </c>
    </row>
    <row r="25" spans="1:74" x14ac:dyDescent="0.2">
      <c r="A25" s="30" t="s">
        <v>243</v>
      </c>
      <c r="B25" s="30" t="s">
        <v>477</v>
      </c>
      <c r="C25" s="30" t="s">
        <v>245</v>
      </c>
      <c r="D25" s="30" t="s">
        <v>245</v>
      </c>
      <c r="E25" s="30" t="s">
        <v>245</v>
      </c>
      <c r="F25" s="30" t="s">
        <v>478</v>
      </c>
      <c r="G25" s="30" t="s">
        <v>245</v>
      </c>
      <c r="H25" s="30" t="s">
        <v>245</v>
      </c>
      <c r="I25" s="30" t="s">
        <v>2824</v>
      </c>
      <c r="K25" s="30" t="s">
        <v>479</v>
      </c>
      <c r="L25" s="30" t="s">
        <v>460</v>
      </c>
      <c r="M25" s="30" t="s">
        <v>245</v>
      </c>
      <c r="N25" s="30" t="s">
        <v>245</v>
      </c>
      <c r="O25" s="30" t="s">
        <v>245</v>
      </c>
      <c r="P25" s="30" t="s">
        <v>245</v>
      </c>
      <c r="Q25" s="30" t="s">
        <v>245</v>
      </c>
      <c r="R25" s="30" t="s">
        <v>245</v>
      </c>
      <c r="S25" s="30" t="s">
        <v>245</v>
      </c>
      <c r="T25" s="30" t="s">
        <v>245</v>
      </c>
      <c r="U25" s="30" t="s">
        <v>245</v>
      </c>
      <c r="V25" s="30" t="s">
        <v>245</v>
      </c>
      <c r="W25" s="30" t="s">
        <v>245</v>
      </c>
      <c r="X25" s="30" t="s">
        <v>245</v>
      </c>
      <c r="Y25" s="30" t="s">
        <v>245</v>
      </c>
      <c r="Z25" s="30" t="s">
        <v>245</v>
      </c>
      <c r="AA25" s="30" t="s">
        <v>245</v>
      </c>
      <c r="AB25" s="30" t="s">
        <v>245</v>
      </c>
      <c r="AC25" s="30" t="s">
        <v>480</v>
      </c>
      <c r="AD25" s="30" t="s">
        <v>245</v>
      </c>
      <c r="AE25" s="30" t="s">
        <v>245</v>
      </c>
      <c r="AF25" s="30" t="s">
        <v>245</v>
      </c>
      <c r="AG25" s="30" t="s">
        <v>245</v>
      </c>
      <c r="AH25" s="30" t="s">
        <v>245</v>
      </c>
      <c r="AI25" s="30" t="s">
        <v>245</v>
      </c>
      <c r="AJ25" s="30" t="s">
        <v>245</v>
      </c>
      <c r="AK25" s="30" t="s">
        <v>245</v>
      </c>
      <c r="AL25" s="30" t="s">
        <v>245</v>
      </c>
      <c r="AM25" s="30" t="s">
        <v>245</v>
      </c>
      <c r="AN25" s="30" t="s">
        <v>245</v>
      </c>
      <c r="AO25" s="30" t="s">
        <v>245</v>
      </c>
      <c r="AP25" s="30" t="s">
        <v>245</v>
      </c>
      <c r="AQ25" s="30" t="s">
        <v>462</v>
      </c>
      <c r="AR25" s="30" t="s">
        <v>463</v>
      </c>
      <c r="AS25" s="30" t="s">
        <v>245</v>
      </c>
      <c r="AT25" s="30" t="s">
        <v>245</v>
      </c>
      <c r="AU25" s="30" t="s">
        <v>245</v>
      </c>
      <c r="AV25" s="30" t="s">
        <v>481</v>
      </c>
      <c r="AW25" s="30">
        <v>2020</v>
      </c>
      <c r="AX25" s="30">
        <v>100</v>
      </c>
      <c r="AY25" s="30">
        <v>4</v>
      </c>
      <c r="AZ25" s="30" t="s">
        <v>245</v>
      </c>
      <c r="BA25" s="30" t="s">
        <v>245</v>
      </c>
      <c r="BB25" s="30" t="s">
        <v>245</v>
      </c>
      <c r="BC25" s="30" t="s">
        <v>245</v>
      </c>
      <c r="BD25" s="30">
        <v>479</v>
      </c>
      <c r="BE25" s="30">
        <v>487</v>
      </c>
      <c r="BF25" s="30" t="s">
        <v>245</v>
      </c>
      <c r="BG25" s="30" t="s">
        <v>482</v>
      </c>
      <c r="BH25" s="30" t="str">
        <f>HYPERLINK("http://dx.doi.org/10.1139/cjss-2020-0034","http://dx.doi.org/10.1139/cjss-2020-0034")</f>
        <v>http://dx.doi.org/10.1139/cjss-2020-0034</v>
      </c>
      <c r="BI25" s="30" t="s">
        <v>245</v>
      </c>
      <c r="BJ25" s="30" t="s">
        <v>245</v>
      </c>
      <c r="BK25" s="30" t="s">
        <v>245</v>
      </c>
      <c r="BL25" s="30" t="s">
        <v>245</v>
      </c>
      <c r="BM25" s="30" t="s">
        <v>245</v>
      </c>
      <c r="BN25" s="30" t="s">
        <v>245</v>
      </c>
      <c r="BO25" s="30" t="s">
        <v>245</v>
      </c>
      <c r="BP25" s="30" t="s">
        <v>245</v>
      </c>
      <c r="BQ25" s="30" t="s">
        <v>245</v>
      </c>
      <c r="BR25" s="30" t="s">
        <v>245</v>
      </c>
      <c r="BS25" s="30" t="s">
        <v>245</v>
      </c>
      <c r="BT25" s="30" t="s">
        <v>245</v>
      </c>
      <c r="BU25" s="30" t="s">
        <v>483</v>
      </c>
      <c r="BV25" s="30" t="str">
        <f>HYPERLINK("https%3A%2F%2Fwww.webofscience.com%2Fwos%2Fwoscc%2Ffull-record%2FWOS:000595593400013","View Full Record in Web of Science")</f>
        <v>View Full Record in Web of Science</v>
      </c>
    </row>
    <row r="26" spans="1:74" x14ac:dyDescent="0.2">
      <c r="A26" s="30" t="s">
        <v>243</v>
      </c>
      <c r="B26" s="30" t="s">
        <v>484</v>
      </c>
      <c r="C26" s="30" t="s">
        <v>245</v>
      </c>
      <c r="D26" s="30" t="s">
        <v>245</v>
      </c>
      <c r="E26" s="30" t="s">
        <v>245</v>
      </c>
      <c r="F26" s="30" t="s">
        <v>485</v>
      </c>
      <c r="G26" s="30" t="s">
        <v>245</v>
      </c>
      <c r="H26" s="30" t="s">
        <v>245</v>
      </c>
      <c r="J26" s="30" t="s">
        <v>2825</v>
      </c>
      <c r="K26" s="30" t="s">
        <v>486</v>
      </c>
      <c r="L26" s="30" t="s">
        <v>336</v>
      </c>
      <c r="M26" s="30" t="s">
        <v>245</v>
      </c>
      <c r="N26" s="30" t="s">
        <v>245</v>
      </c>
      <c r="O26" s="30" t="s">
        <v>245</v>
      </c>
      <c r="P26" s="30" t="s">
        <v>245</v>
      </c>
      <c r="Q26" s="30" t="s">
        <v>245</v>
      </c>
      <c r="R26" s="30" t="s">
        <v>245</v>
      </c>
      <c r="S26" s="30" t="s">
        <v>245</v>
      </c>
      <c r="T26" s="30" t="s">
        <v>245</v>
      </c>
      <c r="U26" s="30" t="s">
        <v>245</v>
      </c>
      <c r="V26" s="30" t="s">
        <v>245</v>
      </c>
      <c r="W26" s="30" t="s">
        <v>245</v>
      </c>
      <c r="X26" s="30" t="s">
        <v>245</v>
      </c>
      <c r="Y26" s="30" t="s">
        <v>245</v>
      </c>
      <c r="Z26" s="30" t="s">
        <v>245</v>
      </c>
      <c r="AA26" s="30" t="s">
        <v>245</v>
      </c>
      <c r="AB26" s="30" t="s">
        <v>245</v>
      </c>
      <c r="AC26" s="30" t="s">
        <v>245</v>
      </c>
      <c r="AD26" s="30" t="s">
        <v>245</v>
      </c>
      <c r="AE26" s="30" t="s">
        <v>245</v>
      </c>
      <c r="AF26" s="30" t="s">
        <v>245</v>
      </c>
      <c r="AG26" s="30" t="s">
        <v>245</v>
      </c>
      <c r="AH26" s="30" t="s">
        <v>245</v>
      </c>
      <c r="AI26" s="30" t="s">
        <v>245</v>
      </c>
      <c r="AJ26" s="30" t="s">
        <v>245</v>
      </c>
      <c r="AK26" s="30" t="s">
        <v>245</v>
      </c>
      <c r="AL26" s="30" t="s">
        <v>245</v>
      </c>
      <c r="AM26" s="30" t="s">
        <v>245</v>
      </c>
      <c r="AN26" s="30" t="s">
        <v>245</v>
      </c>
      <c r="AO26" s="30" t="s">
        <v>245</v>
      </c>
      <c r="AP26" s="30" t="s">
        <v>245</v>
      </c>
      <c r="AQ26" s="30" t="s">
        <v>343</v>
      </c>
      <c r="AR26" s="30" t="s">
        <v>344</v>
      </c>
      <c r="AS26" s="30" t="s">
        <v>245</v>
      </c>
      <c r="AT26" s="30" t="s">
        <v>245</v>
      </c>
      <c r="AU26" s="30" t="s">
        <v>245</v>
      </c>
      <c r="AV26" s="30" t="s">
        <v>487</v>
      </c>
      <c r="AW26" s="30">
        <v>2021</v>
      </c>
      <c r="AX26" s="30">
        <v>119</v>
      </c>
      <c r="AY26" s="30">
        <v>2</v>
      </c>
      <c r="AZ26" s="30" t="s">
        <v>245</v>
      </c>
      <c r="BA26" s="30" t="s">
        <v>245</v>
      </c>
      <c r="BB26" s="30" t="s">
        <v>245</v>
      </c>
      <c r="BC26" s="30" t="s">
        <v>245</v>
      </c>
      <c r="BD26" s="30">
        <v>275</v>
      </c>
      <c r="BE26" s="30">
        <v>289</v>
      </c>
      <c r="BF26" s="30" t="s">
        <v>245</v>
      </c>
      <c r="BG26" s="30" t="s">
        <v>488</v>
      </c>
      <c r="BH26" s="30" t="str">
        <f>HYPERLINK("http://dx.doi.org/10.1007/s10705-020-10116-3","http://dx.doi.org/10.1007/s10705-020-10116-3")</f>
        <v>http://dx.doi.org/10.1007/s10705-020-10116-3</v>
      </c>
      <c r="BI26" s="30" t="s">
        <v>245</v>
      </c>
      <c r="BJ26" s="30" t="s">
        <v>489</v>
      </c>
      <c r="BK26" s="30" t="s">
        <v>245</v>
      </c>
      <c r="BL26" s="30" t="s">
        <v>245</v>
      </c>
      <c r="BM26" s="30" t="s">
        <v>245</v>
      </c>
      <c r="BN26" s="30" t="s">
        <v>245</v>
      </c>
      <c r="BO26" s="30" t="s">
        <v>245</v>
      </c>
      <c r="BP26" s="30" t="s">
        <v>245</v>
      </c>
      <c r="BQ26" s="30" t="s">
        <v>245</v>
      </c>
      <c r="BR26" s="30" t="s">
        <v>245</v>
      </c>
      <c r="BS26" s="30" t="s">
        <v>245</v>
      </c>
      <c r="BT26" s="30" t="s">
        <v>245</v>
      </c>
      <c r="BU26" s="30" t="s">
        <v>490</v>
      </c>
      <c r="BV26" s="30" t="str">
        <f>HYPERLINK("https%3A%2F%2Fwww.webofscience.com%2Fwos%2Fwoscc%2Ffull-record%2FWOS:000615754800001","View Full Record in Web of Science")</f>
        <v>View Full Record in Web of Science</v>
      </c>
    </row>
    <row r="27" spans="1:74" x14ac:dyDescent="0.2">
      <c r="A27" s="30" t="s">
        <v>243</v>
      </c>
      <c r="B27" s="30" t="s">
        <v>491</v>
      </c>
      <c r="C27" s="30" t="s">
        <v>245</v>
      </c>
      <c r="D27" s="30" t="s">
        <v>245</v>
      </c>
      <c r="E27" s="30" t="s">
        <v>245</v>
      </c>
      <c r="F27" s="30" t="s">
        <v>491</v>
      </c>
      <c r="G27" s="30" t="s">
        <v>245</v>
      </c>
      <c r="H27" s="30" t="s">
        <v>245</v>
      </c>
      <c r="I27" s="30" t="s">
        <v>2819</v>
      </c>
      <c r="K27" s="30" t="s">
        <v>492</v>
      </c>
      <c r="L27" s="30" t="s">
        <v>493</v>
      </c>
      <c r="M27" s="30" t="s">
        <v>245</v>
      </c>
      <c r="N27" s="30" t="s">
        <v>245</v>
      </c>
      <c r="O27" s="30" t="s">
        <v>245</v>
      </c>
      <c r="P27" s="30" t="s">
        <v>245</v>
      </c>
      <c r="Q27" s="30" t="s">
        <v>245</v>
      </c>
      <c r="R27" s="30" t="s">
        <v>245</v>
      </c>
      <c r="S27" s="30" t="s">
        <v>245</v>
      </c>
      <c r="T27" s="30" t="s">
        <v>245</v>
      </c>
      <c r="U27" s="30" t="s">
        <v>245</v>
      </c>
      <c r="V27" s="30" t="s">
        <v>245</v>
      </c>
      <c r="W27" s="30" t="s">
        <v>245</v>
      </c>
      <c r="X27" s="30" t="s">
        <v>245</v>
      </c>
      <c r="Y27" s="30" t="s">
        <v>245</v>
      </c>
      <c r="Z27" s="30" t="s">
        <v>245</v>
      </c>
      <c r="AA27" s="30" t="s">
        <v>245</v>
      </c>
      <c r="AB27" s="30" t="s">
        <v>245</v>
      </c>
      <c r="AC27" s="30" t="s">
        <v>245</v>
      </c>
      <c r="AD27" s="30" t="s">
        <v>245</v>
      </c>
      <c r="AE27" s="30" t="s">
        <v>245</v>
      </c>
      <c r="AF27" s="30" t="s">
        <v>245</v>
      </c>
      <c r="AG27" s="30" t="s">
        <v>245</v>
      </c>
      <c r="AH27" s="30" t="s">
        <v>245</v>
      </c>
      <c r="AI27" s="30" t="s">
        <v>245</v>
      </c>
      <c r="AJ27" s="30" t="s">
        <v>245</v>
      </c>
      <c r="AK27" s="30" t="s">
        <v>245</v>
      </c>
      <c r="AL27" s="30" t="s">
        <v>245</v>
      </c>
      <c r="AM27" s="30" t="s">
        <v>245</v>
      </c>
      <c r="AN27" s="30" t="s">
        <v>245</v>
      </c>
      <c r="AO27" s="30" t="s">
        <v>245</v>
      </c>
      <c r="AP27" s="30" t="s">
        <v>245</v>
      </c>
      <c r="AQ27" s="30" t="s">
        <v>494</v>
      </c>
      <c r="AR27" s="30" t="s">
        <v>495</v>
      </c>
      <c r="AS27" s="30" t="s">
        <v>245</v>
      </c>
      <c r="AT27" s="30" t="s">
        <v>245</v>
      </c>
      <c r="AU27" s="30" t="s">
        <v>245</v>
      </c>
      <c r="AV27" s="30" t="s">
        <v>245</v>
      </c>
      <c r="AW27" s="30">
        <v>1982</v>
      </c>
      <c r="AX27" s="30">
        <v>46</v>
      </c>
      <c r="AY27" s="30">
        <v>1</v>
      </c>
      <c r="AZ27" s="30" t="s">
        <v>245</v>
      </c>
      <c r="BA27" s="30" t="s">
        <v>245</v>
      </c>
      <c r="BB27" s="30" t="s">
        <v>245</v>
      </c>
      <c r="BC27" s="30" t="s">
        <v>245</v>
      </c>
      <c r="BD27" s="30">
        <v>75</v>
      </c>
      <c r="BE27" s="30">
        <v>77</v>
      </c>
      <c r="BF27" s="30" t="s">
        <v>245</v>
      </c>
      <c r="BG27" s="30" t="s">
        <v>496</v>
      </c>
      <c r="BH27" s="30" t="str">
        <f>HYPERLINK("http://dx.doi.org/10.2136/sssaj1982.03615995004600010014x","http://dx.doi.org/10.2136/sssaj1982.03615995004600010014x")</f>
        <v>http://dx.doi.org/10.2136/sssaj1982.03615995004600010014x</v>
      </c>
      <c r="BI27" s="30" t="s">
        <v>245</v>
      </c>
      <c r="BJ27" s="30" t="s">
        <v>245</v>
      </c>
      <c r="BK27" s="30" t="s">
        <v>245</v>
      </c>
      <c r="BL27" s="30" t="s">
        <v>245</v>
      </c>
      <c r="BM27" s="30" t="s">
        <v>245</v>
      </c>
      <c r="BN27" s="30" t="s">
        <v>245</v>
      </c>
      <c r="BO27" s="30" t="s">
        <v>245</v>
      </c>
      <c r="BP27" s="30" t="s">
        <v>245</v>
      </c>
      <c r="BQ27" s="30" t="s">
        <v>245</v>
      </c>
      <c r="BR27" s="30" t="s">
        <v>245</v>
      </c>
      <c r="BS27" s="30" t="s">
        <v>245</v>
      </c>
      <c r="BT27" s="30" t="s">
        <v>245</v>
      </c>
      <c r="BU27" s="30" t="s">
        <v>497</v>
      </c>
      <c r="BV27" s="30" t="str">
        <f>HYPERLINK("https%3A%2F%2Fwww.webofscience.com%2Fwos%2Fwoscc%2Ffull-record%2FWOS:A1982NP46200013","View Full Record in Web of Science")</f>
        <v>View Full Record in Web of Science</v>
      </c>
    </row>
    <row r="28" spans="1:74" x14ac:dyDescent="0.2">
      <c r="A28" s="30" t="s">
        <v>243</v>
      </c>
      <c r="B28" s="30" t="s">
        <v>498</v>
      </c>
      <c r="C28" s="30" t="s">
        <v>245</v>
      </c>
      <c r="D28" s="30" t="s">
        <v>245</v>
      </c>
      <c r="E28" s="30" t="s">
        <v>245</v>
      </c>
      <c r="F28" s="30" t="s">
        <v>499</v>
      </c>
      <c r="G28" s="30" t="s">
        <v>245</v>
      </c>
      <c r="H28" s="30" t="s">
        <v>245</v>
      </c>
      <c r="I28" s="30" t="s">
        <v>2822</v>
      </c>
      <c r="K28" s="30" t="s">
        <v>500</v>
      </c>
      <c r="L28" s="30" t="s">
        <v>501</v>
      </c>
      <c r="M28" s="30" t="s">
        <v>245</v>
      </c>
      <c r="N28" s="30" t="s">
        <v>245</v>
      </c>
      <c r="O28" s="30" t="s">
        <v>245</v>
      </c>
      <c r="P28" s="30" t="s">
        <v>245</v>
      </c>
      <c r="Q28" s="30" t="s">
        <v>245</v>
      </c>
      <c r="R28" s="30" t="s">
        <v>245</v>
      </c>
      <c r="S28" s="30" t="s">
        <v>245</v>
      </c>
      <c r="T28" s="30" t="s">
        <v>245</v>
      </c>
      <c r="U28" s="30" t="s">
        <v>245</v>
      </c>
      <c r="V28" s="30" t="s">
        <v>245</v>
      </c>
      <c r="W28" s="30" t="s">
        <v>245</v>
      </c>
      <c r="X28" s="30" t="s">
        <v>245</v>
      </c>
      <c r="Y28" s="30" t="s">
        <v>245</v>
      </c>
      <c r="Z28" s="30" t="s">
        <v>245</v>
      </c>
      <c r="AA28" s="30" t="s">
        <v>245</v>
      </c>
      <c r="AB28" s="30" t="s">
        <v>245</v>
      </c>
      <c r="AC28" s="30" t="s">
        <v>502</v>
      </c>
      <c r="AD28" s="30" t="s">
        <v>503</v>
      </c>
      <c r="AE28" s="30" t="s">
        <v>245</v>
      </c>
      <c r="AF28" s="30" t="s">
        <v>245</v>
      </c>
      <c r="AG28" s="30" t="s">
        <v>245</v>
      </c>
      <c r="AH28" s="30" t="s">
        <v>245</v>
      </c>
      <c r="AI28" s="30" t="s">
        <v>245</v>
      </c>
      <c r="AJ28" s="30" t="s">
        <v>245</v>
      </c>
      <c r="AK28" s="30" t="s">
        <v>245</v>
      </c>
      <c r="AL28" s="30" t="s">
        <v>245</v>
      </c>
      <c r="AM28" s="30" t="s">
        <v>245</v>
      </c>
      <c r="AN28" s="30" t="s">
        <v>245</v>
      </c>
      <c r="AO28" s="30" t="s">
        <v>245</v>
      </c>
      <c r="AP28" s="30" t="s">
        <v>245</v>
      </c>
      <c r="AQ28" s="30" t="s">
        <v>504</v>
      </c>
      <c r="AR28" s="30" t="s">
        <v>505</v>
      </c>
      <c r="AS28" s="30" t="s">
        <v>245</v>
      </c>
      <c r="AT28" s="30" t="s">
        <v>245</v>
      </c>
      <c r="AU28" s="30" t="s">
        <v>245</v>
      </c>
      <c r="AV28" s="30" t="s">
        <v>286</v>
      </c>
      <c r="AW28" s="30">
        <v>2020</v>
      </c>
      <c r="AX28" s="30">
        <v>145</v>
      </c>
      <c r="AY28" s="30" t="s">
        <v>245</v>
      </c>
      <c r="AZ28" s="30" t="s">
        <v>245</v>
      </c>
      <c r="BA28" s="30" t="s">
        <v>245</v>
      </c>
      <c r="BB28" s="30" t="s">
        <v>245</v>
      </c>
      <c r="BC28" s="30" t="s">
        <v>245</v>
      </c>
      <c r="BD28" s="30" t="s">
        <v>245</v>
      </c>
      <c r="BE28" s="30" t="s">
        <v>245</v>
      </c>
      <c r="BF28" s="30">
        <v>103380</v>
      </c>
      <c r="BG28" s="30" t="s">
        <v>506</v>
      </c>
      <c r="BH28" s="30" t="str">
        <f>HYPERLINK("http://dx.doi.org/10.1016/j.apsoil.2019.103380","http://dx.doi.org/10.1016/j.apsoil.2019.103380")</f>
        <v>http://dx.doi.org/10.1016/j.apsoil.2019.103380</v>
      </c>
      <c r="BI28" s="30" t="s">
        <v>245</v>
      </c>
      <c r="BJ28" s="30" t="s">
        <v>245</v>
      </c>
      <c r="BK28" s="30" t="s">
        <v>245</v>
      </c>
      <c r="BL28" s="30" t="s">
        <v>245</v>
      </c>
      <c r="BM28" s="30" t="s">
        <v>245</v>
      </c>
      <c r="BN28" s="30" t="s">
        <v>245</v>
      </c>
      <c r="BO28" s="30" t="s">
        <v>245</v>
      </c>
      <c r="BP28" s="30" t="s">
        <v>245</v>
      </c>
      <c r="BQ28" s="30" t="s">
        <v>245</v>
      </c>
      <c r="BR28" s="30" t="s">
        <v>245</v>
      </c>
      <c r="BS28" s="30" t="s">
        <v>245</v>
      </c>
      <c r="BT28" s="30" t="s">
        <v>245</v>
      </c>
      <c r="BU28" s="30" t="s">
        <v>507</v>
      </c>
      <c r="BV28" s="30" t="str">
        <f>HYPERLINK("https%3A%2F%2Fwww.webofscience.com%2Fwos%2Fwoscc%2Ffull-record%2FWOS:000495708400020","View Full Record in Web of Science")</f>
        <v>View Full Record in Web of Science</v>
      </c>
    </row>
    <row r="29" spans="1:74" x14ac:dyDescent="0.2">
      <c r="A29" s="30" t="s">
        <v>243</v>
      </c>
      <c r="B29" s="30" t="s">
        <v>508</v>
      </c>
      <c r="C29" s="30" t="s">
        <v>245</v>
      </c>
      <c r="D29" s="30" t="s">
        <v>245</v>
      </c>
      <c r="E29" s="30" t="s">
        <v>245</v>
      </c>
      <c r="F29" s="30" t="s">
        <v>509</v>
      </c>
      <c r="G29" s="30" t="s">
        <v>245</v>
      </c>
      <c r="H29" s="30" t="s">
        <v>245</v>
      </c>
      <c r="I29" s="30" t="s">
        <v>2826</v>
      </c>
      <c r="K29" s="30" t="s">
        <v>510</v>
      </c>
      <c r="L29" s="30" t="s">
        <v>304</v>
      </c>
      <c r="M29" s="30" t="s">
        <v>245</v>
      </c>
      <c r="N29" s="30" t="s">
        <v>245</v>
      </c>
      <c r="O29" s="30" t="s">
        <v>245</v>
      </c>
      <c r="P29" s="30" t="s">
        <v>245</v>
      </c>
      <c r="Q29" s="30" t="s">
        <v>245</v>
      </c>
      <c r="R29" s="30" t="s">
        <v>245</v>
      </c>
      <c r="S29" s="30" t="s">
        <v>245</v>
      </c>
      <c r="T29" s="30" t="s">
        <v>245</v>
      </c>
      <c r="U29" s="30" t="s">
        <v>245</v>
      </c>
      <c r="V29" s="30" t="s">
        <v>245</v>
      </c>
      <c r="W29" s="30" t="s">
        <v>245</v>
      </c>
      <c r="X29" s="30" t="s">
        <v>245</v>
      </c>
      <c r="Y29" s="30" t="s">
        <v>245</v>
      </c>
      <c r="Z29" s="30" t="s">
        <v>245</v>
      </c>
      <c r="AA29" s="30" t="s">
        <v>245</v>
      </c>
      <c r="AB29" s="30" t="s">
        <v>245</v>
      </c>
      <c r="AC29" s="30" t="s">
        <v>511</v>
      </c>
      <c r="AD29" s="30" t="s">
        <v>512</v>
      </c>
      <c r="AE29" s="30" t="s">
        <v>245</v>
      </c>
      <c r="AF29" s="30" t="s">
        <v>245</v>
      </c>
      <c r="AG29" s="30" t="s">
        <v>245</v>
      </c>
      <c r="AH29" s="30" t="s">
        <v>245</v>
      </c>
      <c r="AI29" s="30" t="s">
        <v>245</v>
      </c>
      <c r="AJ29" s="30" t="s">
        <v>245</v>
      </c>
      <c r="AK29" s="30" t="s">
        <v>245</v>
      </c>
      <c r="AL29" s="30" t="s">
        <v>245</v>
      </c>
      <c r="AM29" s="30" t="s">
        <v>245</v>
      </c>
      <c r="AN29" s="30" t="s">
        <v>245</v>
      </c>
      <c r="AO29" s="30" t="s">
        <v>245</v>
      </c>
      <c r="AP29" s="30" t="s">
        <v>245</v>
      </c>
      <c r="AQ29" s="30" t="s">
        <v>307</v>
      </c>
      <c r="AR29" s="30" t="s">
        <v>308</v>
      </c>
      <c r="AS29" s="30" t="s">
        <v>245</v>
      </c>
      <c r="AT29" s="30" t="s">
        <v>245</v>
      </c>
      <c r="AU29" s="30" t="s">
        <v>245</v>
      </c>
      <c r="AV29" s="30" t="s">
        <v>481</v>
      </c>
      <c r="AW29" s="30">
        <v>2011</v>
      </c>
      <c r="AX29" s="30">
        <v>57</v>
      </c>
      <c r="AY29" s="30">
        <v>6</v>
      </c>
      <c r="AZ29" s="30" t="s">
        <v>245</v>
      </c>
      <c r="BA29" s="30" t="s">
        <v>245</v>
      </c>
      <c r="BB29" s="30" t="s">
        <v>245</v>
      </c>
      <c r="BC29" s="30" t="s">
        <v>245</v>
      </c>
      <c r="BD29" s="30">
        <v>833</v>
      </c>
      <c r="BE29" s="30">
        <v>842</v>
      </c>
      <c r="BF29" s="30" t="s">
        <v>245</v>
      </c>
      <c r="BG29" s="30" t="s">
        <v>513</v>
      </c>
      <c r="BH29" s="30" t="str">
        <f>HYPERLINK("http://dx.doi.org/10.1080/00380768.2011.637302","http://dx.doi.org/10.1080/00380768.2011.637302")</f>
        <v>http://dx.doi.org/10.1080/00380768.2011.637302</v>
      </c>
      <c r="BI29" s="30" t="s">
        <v>245</v>
      </c>
      <c r="BJ29" s="30" t="s">
        <v>245</v>
      </c>
      <c r="BK29" s="30" t="s">
        <v>245</v>
      </c>
      <c r="BL29" s="30" t="s">
        <v>245</v>
      </c>
      <c r="BM29" s="30" t="s">
        <v>245</v>
      </c>
      <c r="BN29" s="30" t="s">
        <v>245</v>
      </c>
      <c r="BO29" s="30" t="s">
        <v>245</v>
      </c>
      <c r="BP29" s="30" t="s">
        <v>245</v>
      </c>
      <c r="BQ29" s="30" t="s">
        <v>245</v>
      </c>
      <c r="BR29" s="30" t="s">
        <v>245</v>
      </c>
      <c r="BS29" s="30" t="s">
        <v>245</v>
      </c>
      <c r="BT29" s="30" t="s">
        <v>245</v>
      </c>
      <c r="BU29" s="30" t="s">
        <v>514</v>
      </c>
      <c r="BV29" s="30" t="str">
        <f>HYPERLINK("https%3A%2F%2Fwww.webofscience.com%2Fwos%2Fwoscc%2Ffull-record%2FWOS:000299013300010","View Full Record in Web of Science")</f>
        <v>View Full Record in Web of Science</v>
      </c>
    </row>
    <row r="30" spans="1:74" x14ac:dyDescent="0.2">
      <c r="A30" s="30" t="s">
        <v>243</v>
      </c>
      <c r="B30" s="30" t="s">
        <v>515</v>
      </c>
      <c r="C30" s="30" t="s">
        <v>245</v>
      </c>
      <c r="D30" s="30" t="s">
        <v>245</v>
      </c>
      <c r="E30" s="30" t="s">
        <v>245</v>
      </c>
      <c r="F30" s="30" t="s">
        <v>516</v>
      </c>
      <c r="G30" s="30" t="s">
        <v>245</v>
      </c>
      <c r="H30" s="30" t="s">
        <v>245</v>
      </c>
      <c r="I30" s="30" t="s">
        <v>2819</v>
      </c>
      <c r="K30" s="30" t="s">
        <v>517</v>
      </c>
      <c r="L30" s="30" t="s">
        <v>518</v>
      </c>
      <c r="M30" s="30" t="s">
        <v>245</v>
      </c>
      <c r="N30" s="30" t="s">
        <v>245</v>
      </c>
      <c r="O30" s="30" t="s">
        <v>245</v>
      </c>
      <c r="P30" s="30" t="s">
        <v>245</v>
      </c>
      <c r="Q30" s="30" t="s">
        <v>245</v>
      </c>
      <c r="R30" s="30" t="s">
        <v>245</v>
      </c>
      <c r="S30" s="30" t="s">
        <v>245</v>
      </c>
      <c r="T30" s="30" t="s">
        <v>245</v>
      </c>
      <c r="U30" s="30" t="s">
        <v>245</v>
      </c>
      <c r="V30" s="30" t="s">
        <v>245</v>
      </c>
      <c r="W30" s="30" t="s">
        <v>245</v>
      </c>
      <c r="X30" s="30" t="s">
        <v>245</v>
      </c>
      <c r="Y30" s="30" t="s">
        <v>245</v>
      </c>
      <c r="Z30" s="30" t="s">
        <v>245</v>
      </c>
      <c r="AA30" s="30" t="s">
        <v>245</v>
      </c>
      <c r="AB30" s="30" t="s">
        <v>245</v>
      </c>
      <c r="AC30" s="30" t="s">
        <v>519</v>
      </c>
      <c r="AD30" s="30" t="s">
        <v>520</v>
      </c>
      <c r="AE30" s="30" t="s">
        <v>245</v>
      </c>
      <c r="AF30" s="30" t="s">
        <v>245</v>
      </c>
      <c r="AG30" s="30" t="s">
        <v>245</v>
      </c>
      <c r="AH30" s="30" t="s">
        <v>245</v>
      </c>
      <c r="AI30" s="30" t="s">
        <v>245</v>
      </c>
      <c r="AJ30" s="30" t="s">
        <v>245</v>
      </c>
      <c r="AK30" s="30" t="s">
        <v>245</v>
      </c>
      <c r="AL30" s="30" t="s">
        <v>245</v>
      </c>
      <c r="AM30" s="30" t="s">
        <v>245</v>
      </c>
      <c r="AN30" s="30" t="s">
        <v>245</v>
      </c>
      <c r="AO30" s="30" t="s">
        <v>245</v>
      </c>
      <c r="AP30" s="30" t="s">
        <v>245</v>
      </c>
      <c r="AQ30" s="30" t="s">
        <v>521</v>
      </c>
      <c r="AR30" s="30" t="s">
        <v>522</v>
      </c>
      <c r="AS30" s="30" t="s">
        <v>245</v>
      </c>
      <c r="AT30" s="30" t="s">
        <v>245</v>
      </c>
      <c r="AU30" s="30" t="s">
        <v>245</v>
      </c>
      <c r="AV30" s="30" t="s">
        <v>354</v>
      </c>
      <c r="AW30" s="30">
        <v>2021</v>
      </c>
      <c r="AX30" s="30">
        <v>274</v>
      </c>
      <c r="AY30" s="30" t="s">
        <v>245</v>
      </c>
      <c r="AZ30" s="30" t="s">
        <v>245</v>
      </c>
      <c r="BA30" s="30" t="s">
        <v>245</v>
      </c>
      <c r="BB30" s="30" t="s">
        <v>245</v>
      </c>
      <c r="BC30" s="30" t="s">
        <v>245</v>
      </c>
      <c r="BD30" s="30" t="s">
        <v>245</v>
      </c>
      <c r="BE30" s="30" t="s">
        <v>245</v>
      </c>
      <c r="BF30" s="30">
        <v>114711</v>
      </c>
      <c r="BG30" s="30" t="s">
        <v>523</v>
      </c>
      <c r="BH30" s="30" t="str">
        <f>HYPERLINK("http://dx.doi.org/10.1016/j.anifeedsci.2020.114711","http://dx.doi.org/10.1016/j.anifeedsci.2020.114711")</f>
        <v>http://dx.doi.org/10.1016/j.anifeedsci.2020.114711</v>
      </c>
      <c r="BI30" s="30" t="s">
        <v>245</v>
      </c>
      <c r="BJ30" s="30" t="s">
        <v>524</v>
      </c>
      <c r="BK30" s="30" t="s">
        <v>245</v>
      </c>
      <c r="BL30" s="30" t="s">
        <v>245</v>
      </c>
      <c r="BM30" s="30" t="s">
        <v>245</v>
      </c>
      <c r="BN30" s="30" t="s">
        <v>245</v>
      </c>
      <c r="BO30" s="30" t="s">
        <v>245</v>
      </c>
      <c r="BP30" s="30" t="s">
        <v>245</v>
      </c>
      <c r="BQ30" s="30" t="s">
        <v>245</v>
      </c>
      <c r="BR30" s="30" t="s">
        <v>245</v>
      </c>
      <c r="BS30" s="30" t="s">
        <v>245</v>
      </c>
      <c r="BT30" s="30" t="s">
        <v>245</v>
      </c>
      <c r="BU30" s="30" t="s">
        <v>525</v>
      </c>
      <c r="BV30" s="30" t="str">
        <f>HYPERLINK("https%3A%2F%2Fwww.webofscience.com%2Fwos%2Fwoscc%2Ffull-record%2FWOS:000634114400010","View Full Record in Web of Science")</f>
        <v>View Full Record in Web of Science</v>
      </c>
    </row>
    <row r="31" spans="1:74" x14ac:dyDescent="0.2">
      <c r="A31" s="30" t="s">
        <v>243</v>
      </c>
      <c r="B31" s="30" t="s">
        <v>526</v>
      </c>
      <c r="C31" s="30" t="s">
        <v>245</v>
      </c>
      <c r="D31" s="30" t="s">
        <v>245</v>
      </c>
      <c r="E31" s="30" t="s">
        <v>245</v>
      </c>
      <c r="F31" s="30" t="s">
        <v>526</v>
      </c>
      <c r="G31" s="30" t="s">
        <v>245</v>
      </c>
      <c r="H31" s="30" t="s">
        <v>245</v>
      </c>
      <c r="I31" s="30" t="s">
        <v>2821</v>
      </c>
      <c r="K31" s="30" t="s">
        <v>527</v>
      </c>
      <c r="L31" s="30" t="s">
        <v>248</v>
      </c>
      <c r="M31" s="30" t="s">
        <v>245</v>
      </c>
      <c r="N31" s="30" t="s">
        <v>245</v>
      </c>
      <c r="O31" s="30" t="s">
        <v>245</v>
      </c>
      <c r="P31" s="30" t="s">
        <v>245</v>
      </c>
      <c r="Q31" s="30" t="s">
        <v>245</v>
      </c>
      <c r="R31" s="30" t="s">
        <v>245</v>
      </c>
      <c r="S31" s="30" t="s">
        <v>245</v>
      </c>
      <c r="T31" s="30" t="s">
        <v>245</v>
      </c>
      <c r="U31" s="30" t="s">
        <v>245</v>
      </c>
      <c r="V31" s="30" t="s">
        <v>245</v>
      </c>
      <c r="W31" s="30" t="s">
        <v>245</v>
      </c>
      <c r="X31" s="30" t="s">
        <v>245</v>
      </c>
      <c r="Y31" s="30" t="s">
        <v>245</v>
      </c>
      <c r="Z31" s="30" t="s">
        <v>245</v>
      </c>
      <c r="AA31" s="30" t="s">
        <v>245</v>
      </c>
      <c r="AB31" s="30" t="s">
        <v>245</v>
      </c>
      <c r="AC31" s="30" t="s">
        <v>461</v>
      </c>
      <c r="AD31" s="30" t="s">
        <v>245</v>
      </c>
      <c r="AE31" s="30" t="s">
        <v>245</v>
      </c>
      <c r="AF31" s="30" t="s">
        <v>245</v>
      </c>
      <c r="AG31" s="30" t="s">
        <v>245</v>
      </c>
      <c r="AH31" s="30" t="s">
        <v>245</v>
      </c>
      <c r="AI31" s="30" t="s">
        <v>245</v>
      </c>
      <c r="AJ31" s="30" t="s">
        <v>245</v>
      </c>
      <c r="AK31" s="30" t="s">
        <v>245</v>
      </c>
      <c r="AL31" s="30" t="s">
        <v>245</v>
      </c>
      <c r="AM31" s="30" t="s">
        <v>245</v>
      </c>
      <c r="AN31" s="30" t="s">
        <v>245</v>
      </c>
      <c r="AO31" s="30" t="s">
        <v>245</v>
      </c>
      <c r="AP31" s="30" t="s">
        <v>245</v>
      </c>
      <c r="AQ31" s="30" t="s">
        <v>251</v>
      </c>
      <c r="AR31" s="30" t="s">
        <v>245</v>
      </c>
      <c r="AS31" s="30" t="s">
        <v>245</v>
      </c>
      <c r="AT31" s="30" t="s">
        <v>245</v>
      </c>
      <c r="AU31" s="30" t="s">
        <v>245</v>
      </c>
      <c r="AV31" s="30" t="s">
        <v>245</v>
      </c>
      <c r="AW31" s="30">
        <v>1996</v>
      </c>
      <c r="AX31" s="30">
        <v>27</v>
      </c>
      <c r="AY31" s="30" t="s">
        <v>436</v>
      </c>
      <c r="AZ31" s="30" t="s">
        <v>245</v>
      </c>
      <c r="BA31" s="30" t="s">
        <v>245</v>
      </c>
      <c r="BB31" s="30" t="s">
        <v>245</v>
      </c>
      <c r="BC31" s="30" t="s">
        <v>245</v>
      </c>
      <c r="BD31" s="30">
        <v>87</v>
      </c>
      <c r="BE31" s="30">
        <v>99</v>
      </c>
      <c r="BF31" s="30" t="s">
        <v>245</v>
      </c>
      <c r="BG31" s="30" t="s">
        <v>528</v>
      </c>
      <c r="BH31" s="30" t="str">
        <f>HYPERLINK("http://dx.doi.org/10.1080/00103629609369546","http://dx.doi.org/10.1080/00103629609369546")</f>
        <v>http://dx.doi.org/10.1080/00103629609369546</v>
      </c>
      <c r="BI31" s="30" t="s">
        <v>245</v>
      </c>
      <c r="BJ31" s="30" t="s">
        <v>245</v>
      </c>
      <c r="BK31" s="30" t="s">
        <v>245</v>
      </c>
      <c r="BL31" s="30" t="s">
        <v>245</v>
      </c>
      <c r="BM31" s="30" t="s">
        <v>245</v>
      </c>
      <c r="BN31" s="30" t="s">
        <v>245</v>
      </c>
      <c r="BO31" s="30" t="s">
        <v>245</v>
      </c>
      <c r="BP31" s="30" t="s">
        <v>245</v>
      </c>
      <c r="BQ31" s="30" t="s">
        <v>245</v>
      </c>
      <c r="BR31" s="30" t="s">
        <v>245</v>
      </c>
      <c r="BS31" s="30" t="s">
        <v>245</v>
      </c>
      <c r="BT31" s="30" t="s">
        <v>245</v>
      </c>
      <c r="BU31" s="30" t="s">
        <v>529</v>
      </c>
      <c r="BV31" s="30" t="str">
        <f>HYPERLINK("https%3A%2F%2Fwww.webofscience.com%2Fwos%2Fwoscc%2Ffull-record%2FWOS:A1996TT99000009","View Full Record in Web of Science")</f>
        <v>View Full Record in Web of Science</v>
      </c>
    </row>
    <row r="32" spans="1:74" x14ac:dyDescent="0.2">
      <c r="A32" s="30" t="s">
        <v>243</v>
      </c>
      <c r="B32" s="30" t="s">
        <v>530</v>
      </c>
      <c r="C32" s="30" t="s">
        <v>245</v>
      </c>
      <c r="D32" s="30" t="s">
        <v>245</v>
      </c>
      <c r="E32" s="30" t="s">
        <v>245</v>
      </c>
      <c r="F32" s="30" t="s">
        <v>531</v>
      </c>
      <c r="G32" s="30" t="s">
        <v>245</v>
      </c>
      <c r="H32" s="30" t="s">
        <v>245</v>
      </c>
      <c r="I32" s="30" t="s">
        <v>2819</v>
      </c>
      <c r="K32" s="30" t="s">
        <v>532</v>
      </c>
      <c r="L32" s="30" t="s">
        <v>282</v>
      </c>
      <c r="M32" s="30" t="s">
        <v>245</v>
      </c>
      <c r="N32" s="30" t="s">
        <v>245</v>
      </c>
      <c r="O32" s="30" t="s">
        <v>245</v>
      </c>
      <c r="P32" s="30" t="s">
        <v>245</v>
      </c>
      <c r="Q32" s="30" t="s">
        <v>245</v>
      </c>
      <c r="R32" s="30" t="s">
        <v>245</v>
      </c>
      <c r="S32" s="30" t="s">
        <v>245</v>
      </c>
      <c r="T32" s="30" t="s">
        <v>245</v>
      </c>
      <c r="U32" s="30" t="s">
        <v>245</v>
      </c>
      <c r="V32" s="30" t="s">
        <v>245</v>
      </c>
      <c r="W32" s="30" t="s">
        <v>245</v>
      </c>
      <c r="X32" s="30" t="s">
        <v>245</v>
      </c>
      <c r="Y32" s="30" t="s">
        <v>245</v>
      </c>
      <c r="Z32" s="30" t="s">
        <v>245</v>
      </c>
      <c r="AA32" s="30" t="s">
        <v>245</v>
      </c>
      <c r="AB32" s="30" t="s">
        <v>245</v>
      </c>
      <c r="AC32" s="30" t="s">
        <v>533</v>
      </c>
      <c r="AD32" s="30" t="s">
        <v>534</v>
      </c>
      <c r="AE32" s="30" t="s">
        <v>245</v>
      </c>
      <c r="AF32" s="30" t="s">
        <v>245</v>
      </c>
      <c r="AG32" s="30" t="s">
        <v>245</v>
      </c>
      <c r="AH32" s="30" t="s">
        <v>245</v>
      </c>
      <c r="AI32" s="30" t="s">
        <v>245</v>
      </c>
      <c r="AJ32" s="30" t="s">
        <v>245</v>
      </c>
      <c r="AK32" s="30" t="s">
        <v>245</v>
      </c>
      <c r="AL32" s="30" t="s">
        <v>245</v>
      </c>
      <c r="AM32" s="30" t="s">
        <v>245</v>
      </c>
      <c r="AN32" s="30" t="s">
        <v>245</v>
      </c>
      <c r="AO32" s="30" t="s">
        <v>245</v>
      </c>
      <c r="AP32" s="30" t="s">
        <v>245</v>
      </c>
      <c r="AQ32" s="30" t="s">
        <v>285</v>
      </c>
      <c r="AR32" s="30" t="s">
        <v>370</v>
      </c>
      <c r="AS32" s="30" t="s">
        <v>245</v>
      </c>
      <c r="AT32" s="30" t="s">
        <v>245</v>
      </c>
      <c r="AU32" s="30" t="s">
        <v>245</v>
      </c>
      <c r="AV32" s="30" t="s">
        <v>535</v>
      </c>
      <c r="AW32" s="30">
        <v>2011</v>
      </c>
      <c r="AX32" s="30">
        <v>43</v>
      </c>
      <c r="AY32" s="30">
        <v>8</v>
      </c>
      <c r="AZ32" s="30" t="s">
        <v>245</v>
      </c>
      <c r="BA32" s="30" t="s">
        <v>245</v>
      </c>
      <c r="BB32" s="30" t="s">
        <v>245</v>
      </c>
      <c r="BC32" s="30" t="s">
        <v>245</v>
      </c>
      <c r="BD32" s="30">
        <v>1671</v>
      </c>
      <c r="BE32" s="30">
        <v>1677</v>
      </c>
      <c r="BF32" s="30" t="s">
        <v>245</v>
      </c>
      <c r="BG32" s="30" t="s">
        <v>536</v>
      </c>
      <c r="BH32" s="30" t="str">
        <f>HYPERLINK("http://dx.doi.org/10.1016/j.soilbio.2011.04.004","http://dx.doi.org/10.1016/j.soilbio.2011.04.004")</f>
        <v>http://dx.doi.org/10.1016/j.soilbio.2011.04.004</v>
      </c>
      <c r="BI32" s="30" t="s">
        <v>245</v>
      </c>
      <c r="BJ32" s="30" t="s">
        <v>245</v>
      </c>
      <c r="BK32" s="30" t="s">
        <v>245</v>
      </c>
      <c r="BL32" s="30" t="s">
        <v>245</v>
      </c>
      <c r="BM32" s="30" t="s">
        <v>245</v>
      </c>
      <c r="BN32" s="30" t="s">
        <v>245</v>
      </c>
      <c r="BO32" s="30" t="s">
        <v>245</v>
      </c>
      <c r="BP32" s="30" t="s">
        <v>245</v>
      </c>
      <c r="BQ32" s="30" t="s">
        <v>245</v>
      </c>
      <c r="BR32" s="30" t="s">
        <v>245</v>
      </c>
      <c r="BS32" s="30" t="s">
        <v>245</v>
      </c>
      <c r="BT32" s="30" t="s">
        <v>245</v>
      </c>
      <c r="BU32" s="30" t="s">
        <v>537</v>
      </c>
      <c r="BV32" s="30" t="str">
        <f>HYPERLINK("https%3A%2F%2Fwww.webofscience.com%2Fwos%2Fwoscc%2Ffull-record%2FWOS:000292995300007","View Full Record in Web of Science")</f>
        <v>View Full Record in Web of Science</v>
      </c>
    </row>
    <row r="33" spans="1:74" x14ac:dyDescent="0.2">
      <c r="A33" s="30" t="s">
        <v>243</v>
      </c>
      <c r="B33" s="30" t="s">
        <v>538</v>
      </c>
      <c r="C33" s="30" t="s">
        <v>245</v>
      </c>
      <c r="D33" s="30" t="s">
        <v>245</v>
      </c>
      <c r="E33" s="30" t="s">
        <v>245</v>
      </c>
      <c r="F33" s="30" t="s">
        <v>539</v>
      </c>
      <c r="G33" s="30" t="s">
        <v>245</v>
      </c>
      <c r="H33" s="30" t="s">
        <v>245</v>
      </c>
      <c r="J33" s="30" t="s">
        <v>2825</v>
      </c>
      <c r="K33" s="30" t="s">
        <v>540</v>
      </c>
      <c r="L33" s="30" t="s">
        <v>541</v>
      </c>
      <c r="M33" s="30" t="s">
        <v>245</v>
      </c>
      <c r="N33" s="30" t="s">
        <v>245</v>
      </c>
      <c r="O33" s="30" t="s">
        <v>245</v>
      </c>
      <c r="P33" s="30" t="s">
        <v>245</v>
      </c>
      <c r="Q33" s="30" t="s">
        <v>245</v>
      </c>
      <c r="R33" s="30" t="s">
        <v>245</v>
      </c>
      <c r="S33" s="30" t="s">
        <v>245</v>
      </c>
      <c r="T33" s="30" t="s">
        <v>245</v>
      </c>
      <c r="U33" s="30" t="s">
        <v>245</v>
      </c>
      <c r="V33" s="30" t="s">
        <v>245</v>
      </c>
      <c r="W33" s="30" t="s">
        <v>245</v>
      </c>
      <c r="X33" s="30" t="s">
        <v>245</v>
      </c>
      <c r="Y33" s="30" t="s">
        <v>245</v>
      </c>
      <c r="Z33" s="30" t="s">
        <v>245</v>
      </c>
      <c r="AA33" s="30" t="s">
        <v>245</v>
      </c>
      <c r="AB33" s="30" t="s">
        <v>245</v>
      </c>
      <c r="AC33" s="30" t="s">
        <v>542</v>
      </c>
      <c r="AD33" s="30" t="s">
        <v>543</v>
      </c>
      <c r="AE33" s="30" t="s">
        <v>245</v>
      </c>
      <c r="AF33" s="30" t="s">
        <v>245</v>
      </c>
      <c r="AG33" s="30" t="s">
        <v>245</v>
      </c>
      <c r="AH33" s="30" t="s">
        <v>245</v>
      </c>
      <c r="AI33" s="30" t="s">
        <v>245</v>
      </c>
      <c r="AJ33" s="30" t="s">
        <v>245</v>
      </c>
      <c r="AK33" s="30" t="s">
        <v>245</v>
      </c>
      <c r="AL33" s="30" t="s">
        <v>245</v>
      </c>
      <c r="AM33" s="30" t="s">
        <v>245</v>
      </c>
      <c r="AN33" s="30" t="s">
        <v>245</v>
      </c>
      <c r="AO33" s="30" t="s">
        <v>245</v>
      </c>
      <c r="AP33" s="30" t="s">
        <v>245</v>
      </c>
      <c r="AQ33" s="30" t="s">
        <v>544</v>
      </c>
      <c r="AR33" s="30" t="s">
        <v>545</v>
      </c>
      <c r="AS33" s="30" t="s">
        <v>245</v>
      </c>
      <c r="AT33" s="30" t="s">
        <v>245</v>
      </c>
      <c r="AU33" s="30" t="s">
        <v>245</v>
      </c>
      <c r="AV33" s="30" t="s">
        <v>474</v>
      </c>
      <c r="AW33" s="30">
        <v>2016</v>
      </c>
      <c r="AX33" s="30">
        <v>219</v>
      </c>
      <c r="AY33" s="30" t="s">
        <v>245</v>
      </c>
      <c r="AZ33" s="30" t="s">
        <v>245</v>
      </c>
      <c r="BA33" s="30" t="s">
        <v>245</v>
      </c>
      <c r="BB33" s="30" t="s">
        <v>245</v>
      </c>
      <c r="BC33" s="30" t="s">
        <v>245</v>
      </c>
      <c r="BD33" s="30">
        <v>138</v>
      </c>
      <c r="BE33" s="30">
        <v>151</v>
      </c>
      <c r="BF33" s="30" t="s">
        <v>245</v>
      </c>
      <c r="BG33" s="30" t="s">
        <v>546</v>
      </c>
      <c r="BH33" s="30" t="str">
        <f>HYPERLINK("http://dx.doi.org/10.1016/j.agee.2015.12.015","http://dx.doi.org/10.1016/j.agee.2015.12.015")</f>
        <v>http://dx.doi.org/10.1016/j.agee.2015.12.015</v>
      </c>
      <c r="BI33" s="30" t="s">
        <v>245</v>
      </c>
      <c r="BJ33" s="30" t="s">
        <v>245</v>
      </c>
      <c r="BK33" s="30" t="s">
        <v>245</v>
      </c>
      <c r="BL33" s="30" t="s">
        <v>245</v>
      </c>
      <c r="BM33" s="30" t="s">
        <v>245</v>
      </c>
      <c r="BN33" s="30" t="s">
        <v>245</v>
      </c>
      <c r="BO33" s="30" t="s">
        <v>245</v>
      </c>
      <c r="BP33" s="30" t="s">
        <v>245</v>
      </c>
      <c r="BQ33" s="30" t="s">
        <v>245</v>
      </c>
      <c r="BR33" s="30" t="s">
        <v>245</v>
      </c>
      <c r="BS33" s="30" t="s">
        <v>245</v>
      </c>
      <c r="BT33" s="30" t="s">
        <v>245</v>
      </c>
      <c r="BU33" s="30" t="s">
        <v>547</v>
      </c>
      <c r="BV33" s="30" t="str">
        <f>HYPERLINK("https%3A%2F%2Fwww.webofscience.com%2Fwos%2Fwoscc%2Ffull-record%2FWOS:000370100800015","View Full Record in Web of Science")</f>
        <v>View Full Record in Web of Science</v>
      </c>
    </row>
    <row r="34" spans="1:74" x14ac:dyDescent="0.2">
      <c r="A34" s="30" t="s">
        <v>243</v>
      </c>
      <c r="B34" s="30" t="s">
        <v>548</v>
      </c>
      <c r="C34" s="30" t="s">
        <v>245</v>
      </c>
      <c r="D34" s="30" t="s">
        <v>245</v>
      </c>
      <c r="E34" s="30" t="s">
        <v>245</v>
      </c>
      <c r="F34" s="30" t="s">
        <v>548</v>
      </c>
      <c r="G34" s="30" t="s">
        <v>245</v>
      </c>
      <c r="H34" s="30" t="s">
        <v>245</v>
      </c>
      <c r="J34" s="30" t="s">
        <v>2827</v>
      </c>
      <c r="K34" s="30" t="s">
        <v>549</v>
      </c>
      <c r="L34" s="30" t="s">
        <v>460</v>
      </c>
      <c r="M34" s="30" t="s">
        <v>245</v>
      </c>
      <c r="N34" s="30" t="s">
        <v>245</v>
      </c>
      <c r="O34" s="30" t="s">
        <v>245</v>
      </c>
      <c r="P34" s="30" t="s">
        <v>245</v>
      </c>
      <c r="Q34" s="30" t="s">
        <v>245</v>
      </c>
      <c r="R34" s="30" t="s">
        <v>245</v>
      </c>
      <c r="S34" s="30" t="s">
        <v>245</v>
      </c>
      <c r="T34" s="30" t="s">
        <v>245</v>
      </c>
      <c r="U34" s="30" t="s">
        <v>245</v>
      </c>
      <c r="V34" s="30" t="s">
        <v>245</v>
      </c>
      <c r="W34" s="30" t="s">
        <v>245</v>
      </c>
      <c r="X34" s="30" t="s">
        <v>245</v>
      </c>
      <c r="Y34" s="30" t="s">
        <v>245</v>
      </c>
      <c r="Z34" s="30" t="s">
        <v>245</v>
      </c>
      <c r="AA34" s="30" t="s">
        <v>245</v>
      </c>
      <c r="AB34" s="30" t="s">
        <v>245</v>
      </c>
      <c r="AC34" s="30" t="s">
        <v>245</v>
      </c>
      <c r="AD34" s="30" t="s">
        <v>245</v>
      </c>
      <c r="AE34" s="30" t="s">
        <v>245</v>
      </c>
      <c r="AF34" s="30" t="s">
        <v>245</v>
      </c>
      <c r="AG34" s="30" t="s">
        <v>245</v>
      </c>
      <c r="AH34" s="30" t="s">
        <v>245</v>
      </c>
      <c r="AI34" s="30" t="s">
        <v>245</v>
      </c>
      <c r="AJ34" s="30" t="s">
        <v>245</v>
      </c>
      <c r="AK34" s="30" t="s">
        <v>245</v>
      </c>
      <c r="AL34" s="30" t="s">
        <v>245</v>
      </c>
      <c r="AM34" s="30" t="s">
        <v>245</v>
      </c>
      <c r="AN34" s="30" t="s">
        <v>245</v>
      </c>
      <c r="AO34" s="30" t="s">
        <v>245</v>
      </c>
      <c r="AP34" s="30" t="s">
        <v>245</v>
      </c>
      <c r="AQ34" s="30" t="s">
        <v>462</v>
      </c>
      <c r="AR34" s="30" t="s">
        <v>245</v>
      </c>
      <c r="AS34" s="30" t="s">
        <v>245</v>
      </c>
      <c r="AT34" s="30" t="s">
        <v>245</v>
      </c>
      <c r="AU34" s="30" t="s">
        <v>245</v>
      </c>
      <c r="AV34" s="30" t="s">
        <v>550</v>
      </c>
      <c r="AW34" s="30">
        <v>2003</v>
      </c>
      <c r="AX34" s="30">
        <v>83</v>
      </c>
      <c r="AY34" s="30">
        <v>5</v>
      </c>
      <c r="AZ34" s="30" t="s">
        <v>245</v>
      </c>
      <c r="BA34" s="30" t="s">
        <v>245</v>
      </c>
      <c r="BB34" s="30" t="s">
        <v>245</v>
      </c>
      <c r="BC34" s="30" t="s">
        <v>245</v>
      </c>
      <c r="BD34" s="30">
        <v>521</v>
      </c>
      <c r="BE34" s="30">
        <v>532</v>
      </c>
      <c r="BF34" s="30" t="s">
        <v>245</v>
      </c>
      <c r="BG34" s="30" t="s">
        <v>551</v>
      </c>
      <c r="BH34" s="30" t="str">
        <f>HYPERLINK("http://dx.doi.org/10.4141/S02-062","http://dx.doi.org/10.4141/S02-062")</f>
        <v>http://dx.doi.org/10.4141/S02-062</v>
      </c>
      <c r="BI34" s="30" t="s">
        <v>245</v>
      </c>
      <c r="BJ34" s="30" t="s">
        <v>245</v>
      </c>
      <c r="BK34" s="30" t="s">
        <v>245</v>
      </c>
      <c r="BL34" s="30" t="s">
        <v>245</v>
      </c>
      <c r="BM34" s="30" t="s">
        <v>245</v>
      </c>
      <c r="BN34" s="30" t="s">
        <v>245</v>
      </c>
      <c r="BO34" s="30" t="s">
        <v>245</v>
      </c>
      <c r="BP34" s="30" t="s">
        <v>245</v>
      </c>
      <c r="BQ34" s="30" t="s">
        <v>245</v>
      </c>
      <c r="BR34" s="30" t="s">
        <v>245</v>
      </c>
      <c r="BS34" s="30" t="s">
        <v>245</v>
      </c>
      <c r="BT34" s="30" t="s">
        <v>245</v>
      </c>
      <c r="BU34" s="30" t="s">
        <v>552</v>
      </c>
      <c r="BV34" s="30" t="str">
        <f>HYPERLINK("https%3A%2F%2Fwww.webofscience.com%2Fwos%2Fwoscc%2Ffull-record%2FWOS:000188647700005","View Full Record in Web of Science")</f>
        <v>View Full Record in Web of Science</v>
      </c>
    </row>
    <row r="35" spans="1:74" x14ac:dyDescent="0.2">
      <c r="A35" s="30" t="s">
        <v>243</v>
      </c>
      <c r="B35" s="30" t="s">
        <v>553</v>
      </c>
      <c r="C35" s="30" t="s">
        <v>245</v>
      </c>
      <c r="D35" s="30" t="s">
        <v>245</v>
      </c>
      <c r="E35" s="30" t="s">
        <v>245</v>
      </c>
      <c r="F35" s="30" t="s">
        <v>553</v>
      </c>
      <c r="G35" s="30" t="s">
        <v>245</v>
      </c>
      <c r="H35" s="30" t="s">
        <v>245</v>
      </c>
      <c r="I35" s="30" t="s">
        <v>2821</v>
      </c>
      <c r="K35" s="30" t="s">
        <v>554</v>
      </c>
      <c r="L35" s="30" t="s">
        <v>336</v>
      </c>
      <c r="M35" s="30" t="s">
        <v>245</v>
      </c>
      <c r="N35" s="30" t="s">
        <v>245</v>
      </c>
      <c r="O35" s="30" t="s">
        <v>245</v>
      </c>
      <c r="P35" s="30" t="s">
        <v>245</v>
      </c>
      <c r="Q35" s="30" t="s">
        <v>245</v>
      </c>
      <c r="R35" s="30" t="s">
        <v>245</v>
      </c>
      <c r="S35" s="30" t="s">
        <v>245</v>
      </c>
      <c r="T35" s="30" t="s">
        <v>245</v>
      </c>
      <c r="U35" s="30" t="s">
        <v>245</v>
      </c>
      <c r="V35" s="30" t="s">
        <v>245</v>
      </c>
      <c r="W35" s="30" t="s">
        <v>245</v>
      </c>
      <c r="X35" s="30" t="s">
        <v>245</v>
      </c>
      <c r="Y35" s="30" t="s">
        <v>245</v>
      </c>
      <c r="Z35" s="30" t="s">
        <v>245</v>
      </c>
      <c r="AA35" s="30" t="s">
        <v>245</v>
      </c>
      <c r="AB35" s="30" t="s">
        <v>245</v>
      </c>
      <c r="AC35" s="30" t="s">
        <v>342</v>
      </c>
      <c r="AD35" s="30" t="s">
        <v>245</v>
      </c>
      <c r="AE35" s="30" t="s">
        <v>245</v>
      </c>
      <c r="AF35" s="30" t="s">
        <v>245</v>
      </c>
      <c r="AG35" s="30" t="s">
        <v>245</v>
      </c>
      <c r="AH35" s="30" t="s">
        <v>245</v>
      </c>
      <c r="AI35" s="30" t="s">
        <v>245</v>
      </c>
      <c r="AJ35" s="30" t="s">
        <v>245</v>
      </c>
      <c r="AK35" s="30" t="s">
        <v>245</v>
      </c>
      <c r="AL35" s="30" t="s">
        <v>245</v>
      </c>
      <c r="AM35" s="30" t="s">
        <v>245</v>
      </c>
      <c r="AN35" s="30" t="s">
        <v>245</v>
      </c>
      <c r="AO35" s="30" t="s">
        <v>245</v>
      </c>
      <c r="AP35" s="30" t="s">
        <v>245</v>
      </c>
      <c r="AQ35" s="30" t="s">
        <v>343</v>
      </c>
      <c r="AR35" s="30" t="s">
        <v>344</v>
      </c>
      <c r="AS35" s="30" t="s">
        <v>245</v>
      </c>
      <c r="AT35" s="30" t="s">
        <v>245</v>
      </c>
      <c r="AU35" s="30" t="s">
        <v>245</v>
      </c>
      <c r="AV35" s="30" t="s">
        <v>454</v>
      </c>
      <c r="AW35" s="30">
        <v>2003</v>
      </c>
      <c r="AX35" s="30">
        <v>67</v>
      </c>
      <c r="AY35" s="30">
        <v>1</v>
      </c>
      <c r="AZ35" s="30" t="s">
        <v>245</v>
      </c>
      <c r="BA35" s="30" t="s">
        <v>245</v>
      </c>
      <c r="BB35" s="30" t="s">
        <v>245</v>
      </c>
      <c r="BC35" s="30" t="s">
        <v>245</v>
      </c>
      <c r="BD35" s="30">
        <v>47</v>
      </c>
      <c r="BE35" s="30">
        <v>54</v>
      </c>
      <c r="BF35" s="30" t="s">
        <v>245</v>
      </c>
      <c r="BG35" s="30" t="s">
        <v>555</v>
      </c>
      <c r="BH35" s="30" t="str">
        <f>HYPERLINK("http://dx.doi.org/10.1023/A:1025108911676","http://dx.doi.org/10.1023/A:1025108911676")</f>
        <v>http://dx.doi.org/10.1023/A:1025108911676</v>
      </c>
      <c r="BI35" s="30" t="s">
        <v>245</v>
      </c>
      <c r="BJ35" s="30" t="s">
        <v>245</v>
      </c>
      <c r="BK35" s="30" t="s">
        <v>245</v>
      </c>
      <c r="BL35" s="30" t="s">
        <v>245</v>
      </c>
      <c r="BM35" s="30" t="s">
        <v>245</v>
      </c>
      <c r="BN35" s="30" t="s">
        <v>245</v>
      </c>
      <c r="BO35" s="30" t="s">
        <v>245</v>
      </c>
      <c r="BP35" s="30" t="s">
        <v>245</v>
      </c>
      <c r="BQ35" s="30" t="s">
        <v>245</v>
      </c>
      <c r="BR35" s="30" t="s">
        <v>245</v>
      </c>
      <c r="BS35" s="30" t="s">
        <v>245</v>
      </c>
      <c r="BT35" s="30" t="s">
        <v>245</v>
      </c>
      <c r="BU35" s="30" t="s">
        <v>556</v>
      </c>
      <c r="BV35" s="30" t="str">
        <f>HYPERLINK("https%3A%2F%2Fwww.webofscience.com%2Fwos%2Fwoscc%2Ffull-record%2FWOS:000184736900006","View Full Record in Web of Science")</f>
        <v>View Full Record in Web of Science</v>
      </c>
    </row>
    <row r="36" spans="1:74" x14ac:dyDescent="0.2">
      <c r="A36" s="30" t="s">
        <v>243</v>
      </c>
      <c r="B36" s="30" t="s">
        <v>557</v>
      </c>
      <c r="C36" s="30" t="s">
        <v>245</v>
      </c>
      <c r="D36" s="30" t="s">
        <v>245</v>
      </c>
      <c r="E36" s="30" t="s">
        <v>245</v>
      </c>
      <c r="F36" s="30" t="s">
        <v>558</v>
      </c>
      <c r="G36" s="30" t="s">
        <v>245</v>
      </c>
      <c r="H36" s="30" t="s">
        <v>245</v>
      </c>
      <c r="I36" s="30" t="s">
        <v>2819</v>
      </c>
      <c r="K36" s="30" t="s">
        <v>559</v>
      </c>
      <c r="L36" s="30" t="s">
        <v>413</v>
      </c>
      <c r="M36" s="30" t="s">
        <v>245</v>
      </c>
      <c r="N36" s="30" t="s">
        <v>245</v>
      </c>
      <c r="O36" s="30" t="s">
        <v>245</v>
      </c>
      <c r="P36" s="30" t="s">
        <v>245</v>
      </c>
      <c r="Q36" s="30" t="s">
        <v>245</v>
      </c>
      <c r="R36" s="30" t="s">
        <v>245</v>
      </c>
      <c r="S36" s="30" t="s">
        <v>245</v>
      </c>
      <c r="T36" s="30" t="s">
        <v>245</v>
      </c>
      <c r="U36" s="30" t="s">
        <v>245</v>
      </c>
      <c r="V36" s="30" t="s">
        <v>245</v>
      </c>
      <c r="W36" s="30" t="s">
        <v>245</v>
      </c>
      <c r="X36" s="30" t="s">
        <v>245</v>
      </c>
      <c r="Y36" s="30" t="s">
        <v>245</v>
      </c>
      <c r="Z36" s="30" t="s">
        <v>245</v>
      </c>
      <c r="AA36" s="30" t="s">
        <v>245</v>
      </c>
      <c r="AB36" s="30" t="s">
        <v>245</v>
      </c>
      <c r="AC36" s="30" t="s">
        <v>560</v>
      </c>
      <c r="AD36" s="30" t="s">
        <v>561</v>
      </c>
      <c r="AE36" s="30" t="s">
        <v>245</v>
      </c>
      <c r="AF36" s="30" t="s">
        <v>245</v>
      </c>
      <c r="AG36" s="30" t="s">
        <v>245</v>
      </c>
      <c r="AH36" s="30" t="s">
        <v>245</v>
      </c>
      <c r="AI36" s="30" t="s">
        <v>245</v>
      </c>
      <c r="AJ36" s="30" t="s">
        <v>245</v>
      </c>
      <c r="AK36" s="30" t="s">
        <v>245</v>
      </c>
      <c r="AL36" s="30" t="s">
        <v>245</v>
      </c>
      <c r="AM36" s="30" t="s">
        <v>245</v>
      </c>
      <c r="AN36" s="30" t="s">
        <v>245</v>
      </c>
      <c r="AO36" s="30" t="s">
        <v>245</v>
      </c>
      <c r="AP36" s="30" t="s">
        <v>245</v>
      </c>
      <c r="AQ36" s="30" t="s">
        <v>416</v>
      </c>
      <c r="AR36" s="30" t="s">
        <v>417</v>
      </c>
      <c r="AS36" s="30" t="s">
        <v>245</v>
      </c>
      <c r="AT36" s="30" t="s">
        <v>245</v>
      </c>
      <c r="AU36" s="30" t="s">
        <v>245</v>
      </c>
      <c r="AV36" s="30" t="s">
        <v>562</v>
      </c>
      <c r="AW36" s="30">
        <v>2022</v>
      </c>
      <c r="AX36" s="30">
        <v>803</v>
      </c>
      <c r="AY36" s="30" t="s">
        <v>245</v>
      </c>
      <c r="AZ36" s="30" t="s">
        <v>245</v>
      </c>
      <c r="BA36" s="30" t="s">
        <v>245</v>
      </c>
      <c r="BB36" s="30" t="s">
        <v>245</v>
      </c>
      <c r="BC36" s="30" t="s">
        <v>245</v>
      </c>
      <c r="BD36" s="30" t="s">
        <v>245</v>
      </c>
      <c r="BE36" s="30" t="s">
        <v>245</v>
      </c>
      <c r="BF36" s="30">
        <v>149902</v>
      </c>
      <c r="BG36" s="30" t="s">
        <v>563</v>
      </c>
      <c r="BH36" s="30" t="str">
        <f>HYPERLINK("http://dx.doi.org/10.1016/j.scitotenv.2021.149902","http://dx.doi.org/10.1016/j.scitotenv.2021.149902")</f>
        <v>http://dx.doi.org/10.1016/j.scitotenv.2021.149902</v>
      </c>
      <c r="BI36" s="30" t="s">
        <v>245</v>
      </c>
      <c r="BJ36" s="30" t="s">
        <v>564</v>
      </c>
      <c r="BK36" s="30" t="s">
        <v>245</v>
      </c>
      <c r="BL36" s="30" t="s">
        <v>245</v>
      </c>
      <c r="BM36" s="30" t="s">
        <v>245</v>
      </c>
      <c r="BN36" s="30" t="s">
        <v>245</v>
      </c>
      <c r="BO36" s="30" t="s">
        <v>245</v>
      </c>
      <c r="BP36" s="30">
        <v>34482144</v>
      </c>
      <c r="BQ36" s="30" t="s">
        <v>245</v>
      </c>
      <c r="BR36" s="30" t="s">
        <v>245</v>
      </c>
      <c r="BS36" s="30" t="s">
        <v>245</v>
      </c>
      <c r="BT36" s="30" t="s">
        <v>245</v>
      </c>
      <c r="BU36" s="30" t="s">
        <v>565</v>
      </c>
      <c r="BV36" s="30" t="str">
        <f>HYPERLINK("https%3A%2F%2Fwww.webofscience.com%2Fwos%2Fwoscc%2Ffull-record%2FWOS:000702878700003","View Full Record in Web of Science")</f>
        <v>View Full Record in Web of Science</v>
      </c>
    </row>
    <row r="37" spans="1:74" x14ac:dyDescent="0.2">
      <c r="A37" s="30" t="s">
        <v>243</v>
      </c>
      <c r="B37" s="30" t="s">
        <v>566</v>
      </c>
      <c r="C37" s="30" t="s">
        <v>245</v>
      </c>
      <c r="D37" s="30" t="s">
        <v>245</v>
      </c>
      <c r="E37" s="30" t="s">
        <v>245</v>
      </c>
      <c r="F37" s="30" t="s">
        <v>567</v>
      </c>
      <c r="G37" s="30" t="s">
        <v>245</v>
      </c>
      <c r="H37" s="30" t="s">
        <v>245</v>
      </c>
      <c r="J37" s="30" t="s">
        <v>2828</v>
      </c>
      <c r="K37" s="30" t="s">
        <v>568</v>
      </c>
      <c r="L37" s="30" t="s">
        <v>336</v>
      </c>
      <c r="M37" s="30" t="s">
        <v>245</v>
      </c>
      <c r="N37" s="30" t="s">
        <v>245</v>
      </c>
      <c r="O37" s="30" t="s">
        <v>245</v>
      </c>
      <c r="P37" s="30" t="s">
        <v>245</v>
      </c>
      <c r="Q37" s="30" t="s">
        <v>245</v>
      </c>
      <c r="R37" s="30" t="s">
        <v>245</v>
      </c>
      <c r="S37" s="30" t="s">
        <v>245</v>
      </c>
      <c r="T37" s="30" t="s">
        <v>245</v>
      </c>
      <c r="U37" s="30" t="s">
        <v>245</v>
      </c>
      <c r="V37" s="30" t="s">
        <v>245</v>
      </c>
      <c r="W37" s="30" t="s">
        <v>245</v>
      </c>
      <c r="X37" s="30" t="s">
        <v>245</v>
      </c>
      <c r="Y37" s="30" t="s">
        <v>245</v>
      </c>
      <c r="Z37" s="30" t="s">
        <v>245</v>
      </c>
      <c r="AA37" s="30" t="s">
        <v>245</v>
      </c>
      <c r="AB37" s="30" t="s">
        <v>245</v>
      </c>
      <c r="AC37" s="30" t="s">
        <v>569</v>
      </c>
      <c r="AD37" s="30" t="s">
        <v>570</v>
      </c>
      <c r="AE37" s="30" t="s">
        <v>245</v>
      </c>
      <c r="AF37" s="30" t="s">
        <v>245</v>
      </c>
      <c r="AG37" s="30" t="s">
        <v>245</v>
      </c>
      <c r="AH37" s="30" t="s">
        <v>245</v>
      </c>
      <c r="AI37" s="30" t="s">
        <v>245</v>
      </c>
      <c r="AJ37" s="30" t="s">
        <v>245</v>
      </c>
      <c r="AK37" s="30" t="s">
        <v>245</v>
      </c>
      <c r="AL37" s="30" t="s">
        <v>245</v>
      </c>
      <c r="AM37" s="30" t="s">
        <v>245</v>
      </c>
      <c r="AN37" s="30" t="s">
        <v>245</v>
      </c>
      <c r="AO37" s="30" t="s">
        <v>245</v>
      </c>
      <c r="AP37" s="30" t="s">
        <v>245</v>
      </c>
      <c r="AQ37" s="30" t="s">
        <v>343</v>
      </c>
      <c r="AR37" s="30" t="s">
        <v>344</v>
      </c>
      <c r="AS37" s="30" t="s">
        <v>245</v>
      </c>
      <c r="AT37" s="30" t="s">
        <v>245</v>
      </c>
      <c r="AU37" s="30" t="s">
        <v>245</v>
      </c>
      <c r="AV37" s="30" t="s">
        <v>265</v>
      </c>
      <c r="AW37" s="30">
        <v>2012</v>
      </c>
      <c r="AX37" s="30">
        <v>93</v>
      </c>
      <c r="AY37" s="30">
        <v>2</v>
      </c>
      <c r="AZ37" s="30" t="s">
        <v>245</v>
      </c>
      <c r="BA37" s="30" t="s">
        <v>245</v>
      </c>
      <c r="BB37" s="30" t="s">
        <v>245</v>
      </c>
      <c r="BC37" s="30" t="s">
        <v>245</v>
      </c>
      <c r="BD37" s="30">
        <v>127</v>
      </c>
      <c r="BE37" s="30">
        <v>149</v>
      </c>
      <c r="BF37" s="30" t="s">
        <v>245</v>
      </c>
      <c r="BG37" s="30" t="s">
        <v>571</v>
      </c>
      <c r="BH37" s="30" t="str">
        <f>HYPERLINK("http://dx.doi.org/10.1007/s10705-012-9505-1","http://dx.doi.org/10.1007/s10705-012-9505-1")</f>
        <v>http://dx.doi.org/10.1007/s10705-012-9505-1</v>
      </c>
      <c r="BI37" s="30" t="s">
        <v>245</v>
      </c>
      <c r="BJ37" s="30" t="s">
        <v>245</v>
      </c>
      <c r="BK37" s="30" t="s">
        <v>245</v>
      </c>
      <c r="BL37" s="30" t="s">
        <v>245</v>
      </c>
      <c r="BM37" s="30" t="s">
        <v>245</v>
      </c>
      <c r="BN37" s="30" t="s">
        <v>245</v>
      </c>
      <c r="BO37" s="30" t="s">
        <v>245</v>
      </c>
      <c r="BP37" s="30" t="s">
        <v>245</v>
      </c>
      <c r="BQ37" s="30" t="s">
        <v>245</v>
      </c>
      <c r="BR37" s="30" t="s">
        <v>245</v>
      </c>
      <c r="BS37" s="30" t="s">
        <v>245</v>
      </c>
      <c r="BT37" s="30" t="s">
        <v>245</v>
      </c>
      <c r="BU37" s="30" t="s">
        <v>572</v>
      </c>
      <c r="BV37" s="30" t="str">
        <f>HYPERLINK("https%3A%2F%2Fwww.webofscience.com%2Fwos%2Fwoscc%2Ffull-record%2FWOS:000305962000002","View Full Record in Web of Science")</f>
        <v>View Full Record in Web of Science</v>
      </c>
    </row>
    <row r="38" spans="1:74" x14ac:dyDescent="0.2">
      <c r="A38" s="30" t="s">
        <v>243</v>
      </c>
      <c r="B38" s="30" t="s">
        <v>573</v>
      </c>
      <c r="C38" s="30" t="s">
        <v>245</v>
      </c>
      <c r="D38" s="30" t="s">
        <v>245</v>
      </c>
      <c r="E38" s="30" t="s">
        <v>245</v>
      </c>
      <c r="F38" s="30" t="s">
        <v>573</v>
      </c>
      <c r="G38" s="30" t="s">
        <v>245</v>
      </c>
      <c r="H38" s="30" t="s">
        <v>245</v>
      </c>
      <c r="I38" s="30" t="s">
        <v>2821</v>
      </c>
      <c r="K38" s="30" t="s">
        <v>574</v>
      </c>
      <c r="L38" s="30" t="s">
        <v>493</v>
      </c>
      <c r="M38" s="30" t="s">
        <v>245</v>
      </c>
      <c r="N38" s="30" t="s">
        <v>245</v>
      </c>
      <c r="O38" s="30" t="s">
        <v>245</v>
      </c>
      <c r="P38" s="30" t="s">
        <v>245</v>
      </c>
      <c r="Q38" s="30" t="s">
        <v>245</v>
      </c>
      <c r="R38" s="30" t="s">
        <v>245</v>
      </c>
      <c r="S38" s="30" t="s">
        <v>245</v>
      </c>
      <c r="T38" s="30" t="s">
        <v>245</v>
      </c>
      <c r="U38" s="30" t="s">
        <v>245</v>
      </c>
      <c r="V38" s="30" t="s">
        <v>245</v>
      </c>
      <c r="W38" s="30" t="s">
        <v>245</v>
      </c>
      <c r="X38" s="30" t="s">
        <v>245</v>
      </c>
      <c r="Y38" s="30" t="s">
        <v>245</v>
      </c>
      <c r="Z38" s="30" t="s">
        <v>245</v>
      </c>
      <c r="AA38" s="30" t="s">
        <v>245</v>
      </c>
      <c r="AB38" s="30" t="s">
        <v>245</v>
      </c>
      <c r="AC38" s="30" t="s">
        <v>245</v>
      </c>
      <c r="AD38" s="30" t="s">
        <v>245</v>
      </c>
      <c r="AE38" s="30" t="s">
        <v>245</v>
      </c>
      <c r="AF38" s="30" t="s">
        <v>245</v>
      </c>
      <c r="AG38" s="30" t="s">
        <v>245</v>
      </c>
      <c r="AH38" s="30" t="s">
        <v>245</v>
      </c>
      <c r="AI38" s="30" t="s">
        <v>245</v>
      </c>
      <c r="AJ38" s="30" t="s">
        <v>245</v>
      </c>
      <c r="AK38" s="30" t="s">
        <v>245</v>
      </c>
      <c r="AL38" s="30" t="s">
        <v>245</v>
      </c>
      <c r="AM38" s="30" t="s">
        <v>245</v>
      </c>
      <c r="AN38" s="30" t="s">
        <v>245</v>
      </c>
      <c r="AO38" s="30" t="s">
        <v>245</v>
      </c>
      <c r="AP38" s="30" t="s">
        <v>245</v>
      </c>
      <c r="AQ38" s="30" t="s">
        <v>494</v>
      </c>
      <c r="AR38" s="30" t="s">
        <v>495</v>
      </c>
      <c r="AS38" s="30" t="s">
        <v>245</v>
      </c>
      <c r="AT38" s="30" t="s">
        <v>245</v>
      </c>
      <c r="AU38" s="30" t="s">
        <v>245</v>
      </c>
      <c r="AV38" s="30" t="s">
        <v>575</v>
      </c>
      <c r="AW38" s="30">
        <v>1986</v>
      </c>
      <c r="AX38" s="30">
        <v>50</v>
      </c>
      <c r="AY38" s="30">
        <v>2</v>
      </c>
      <c r="AZ38" s="30" t="s">
        <v>245</v>
      </c>
      <c r="BA38" s="30" t="s">
        <v>245</v>
      </c>
      <c r="BB38" s="30" t="s">
        <v>245</v>
      </c>
      <c r="BC38" s="30" t="s">
        <v>245</v>
      </c>
      <c r="BD38" s="30">
        <v>344</v>
      </c>
      <c r="BE38" s="30">
        <v>348</v>
      </c>
      <c r="BF38" s="30" t="s">
        <v>245</v>
      </c>
      <c r="BG38" s="30" t="s">
        <v>576</v>
      </c>
      <c r="BH38" s="30" t="str">
        <f>HYPERLINK("http://dx.doi.org/10.2136/sssaj1986.03615995005000020018x","http://dx.doi.org/10.2136/sssaj1986.03615995005000020018x")</f>
        <v>http://dx.doi.org/10.2136/sssaj1986.03615995005000020018x</v>
      </c>
      <c r="BI38" s="30" t="s">
        <v>245</v>
      </c>
      <c r="BJ38" s="30" t="s">
        <v>245</v>
      </c>
      <c r="BK38" s="30" t="s">
        <v>245</v>
      </c>
      <c r="BL38" s="30" t="s">
        <v>245</v>
      </c>
      <c r="BM38" s="30" t="s">
        <v>245</v>
      </c>
      <c r="BN38" s="30" t="s">
        <v>245</v>
      </c>
      <c r="BO38" s="30" t="s">
        <v>245</v>
      </c>
      <c r="BP38" s="30" t="s">
        <v>245</v>
      </c>
      <c r="BQ38" s="30" t="s">
        <v>245</v>
      </c>
      <c r="BR38" s="30" t="s">
        <v>245</v>
      </c>
      <c r="BS38" s="30" t="s">
        <v>245</v>
      </c>
      <c r="BT38" s="30" t="s">
        <v>245</v>
      </c>
      <c r="BU38" s="30" t="s">
        <v>577</v>
      </c>
      <c r="BV38" s="30" t="str">
        <f>HYPERLINK("https%3A%2F%2Fwww.webofscience.com%2Fwos%2Fwoscc%2Ffull-record%2FWOS:A1986C037200018","View Full Record in Web of Science")</f>
        <v>View Full Record in Web of Science</v>
      </c>
    </row>
    <row r="39" spans="1:74" x14ac:dyDescent="0.2">
      <c r="A39" s="30" t="s">
        <v>243</v>
      </c>
      <c r="B39" s="30" t="s">
        <v>578</v>
      </c>
      <c r="C39" s="30" t="s">
        <v>245</v>
      </c>
      <c r="D39" s="30" t="s">
        <v>245</v>
      </c>
      <c r="E39" s="30" t="s">
        <v>245</v>
      </c>
      <c r="F39" s="30" t="s">
        <v>579</v>
      </c>
      <c r="G39" s="30" t="s">
        <v>245</v>
      </c>
      <c r="H39" s="30" t="s">
        <v>245</v>
      </c>
      <c r="I39" s="30" t="s">
        <v>2823</v>
      </c>
      <c r="K39" s="30" t="s">
        <v>580</v>
      </c>
      <c r="L39" s="30" t="s">
        <v>469</v>
      </c>
      <c r="M39" s="30" t="s">
        <v>245</v>
      </c>
      <c r="N39" s="30" t="s">
        <v>245</v>
      </c>
      <c r="O39" s="30" t="s">
        <v>245</v>
      </c>
      <c r="P39" s="30" t="s">
        <v>245</v>
      </c>
      <c r="Q39" s="30" t="s">
        <v>245</v>
      </c>
      <c r="R39" s="30" t="s">
        <v>245</v>
      </c>
      <c r="S39" s="30" t="s">
        <v>245</v>
      </c>
      <c r="T39" s="30" t="s">
        <v>245</v>
      </c>
      <c r="U39" s="30" t="s">
        <v>245</v>
      </c>
      <c r="V39" s="30" t="s">
        <v>245</v>
      </c>
      <c r="W39" s="30" t="s">
        <v>245</v>
      </c>
      <c r="X39" s="30" t="s">
        <v>245</v>
      </c>
      <c r="Y39" s="30" t="s">
        <v>245</v>
      </c>
      <c r="Z39" s="30" t="s">
        <v>245</v>
      </c>
      <c r="AA39" s="30" t="s">
        <v>245</v>
      </c>
      <c r="AB39" s="30" t="s">
        <v>245</v>
      </c>
      <c r="AC39" s="30" t="s">
        <v>581</v>
      </c>
      <c r="AD39" s="30" t="s">
        <v>582</v>
      </c>
      <c r="AE39" s="30" t="s">
        <v>245</v>
      </c>
      <c r="AF39" s="30" t="s">
        <v>245</v>
      </c>
      <c r="AG39" s="30" t="s">
        <v>245</v>
      </c>
      <c r="AH39" s="30" t="s">
        <v>245</v>
      </c>
      <c r="AI39" s="30" t="s">
        <v>245</v>
      </c>
      <c r="AJ39" s="30" t="s">
        <v>245</v>
      </c>
      <c r="AK39" s="30" t="s">
        <v>245</v>
      </c>
      <c r="AL39" s="30" t="s">
        <v>245</v>
      </c>
      <c r="AM39" s="30" t="s">
        <v>245</v>
      </c>
      <c r="AN39" s="30" t="s">
        <v>245</v>
      </c>
      <c r="AO39" s="30" t="s">
        <v>245</v>
      </c>
      <c r="AP39" s="30" t="s">
        <v>245</v>
      </c>
      <c r="AQ39" s="30" t="s">
        <v>472</v>
      </c>
      <c r="AR39" s="30" t="s">
        <v>473</v>
      </c>
      <c r="AS39" s="30" t="s">
        <v>245</v>
      </c>
      <c r="AT39" s="30" t="s">
        <v>245</v>
      </c>
      <c r="AU39" s="30" t="s">
        <v>245</v>
      </c>
      <c r="AV39" s="30" t="s">
        <v>418</v>
      </c>
      <c r="AW39" s="30">
        <v>2022</v>
      </c>
      <c r="AX39" s="30">
        <v>405</v>
      </c>
      <c r="AY39" s="30" t="s">
        <v>245</v>
      </c>
      <c r="AZ39" s="30" t="s">
        <v>245</v>
      </c>
      <c r="BA39" s="30" t="s">
        <v>245</v>
      </c>
      <c r="BB39" s="30" t="s">
        <v>245</v>
      </c>
      <c r="BC39" s="30" t="s">
        <v>245</v>
      </c>
      <c r="BD39" s="30" t="s">
        <v>245</v>
      </c>
      <c r="BE39" s="30" t="s">
        <v>245</v>
      </c>
      <c r="BF39" s="30">
        <v>115444</v>
      </c>
      <c r="BG39" s="30" t="s">
        <v>583</v>
      </c>
      <c r="BH39" s="30" t="str">
        <f>HYPERLINK("http://dx.doi.org/10.1016/j.geoderma.2021.115444","http://dx.doi.org/10.1016/j.geoderma.2021.115444")</f>
        <v>http://dx.doi.org/10.1016/j.geoderma.2021.115444</v>
      </c>
      <c r="BI39" s="30" t="s">
        <v>245</v>
      </c>
      <c r="BJ39" s="30" t="s">
        <v>564</v>
      </c>
      <c r="BK39" s="30" t="s">
        <v>245</v>
      </c>
      <c r="BL39" s="30" t="s">
        <v>245</v>
      </c>
      <c r="BM39" s="30" t="s">
        <v>245</v>
      </c>
      <c r="BN39" s="30" t="s">
        <v>245</v>
      </c>
      <c r="BO39" s="30" t="s">
        <v>245</v>
      </c>
      <c r="BP39" s="30" t="s">
        <v>245</v>
      </c>
      <c r="BQ39" s="30" t="s">
        <v>245</v>
      </c>
      <c r="BR39" s="30" t="s">
        <v>245</v>
      </c>
      <c r="BS39" s="30" t="s">
        <v>245</v>
      </c>
      <c r="BT39" s="30" t="s">
        <v>245</v>
      </c>
      <c r="BU39" s="30" t="s">
        <v>584</v>
      </c>
      <c r="BV39" s="30" t="str">
        <f>HYPERLINK("https%3A%2F%2Fwww.webofscience.com%2Fwos%2Fwoscc%2Ffull-record%2FWOS:000703712100031","View Full Record in Web of Science")</f>
        <v>View Full Record in Web of Science</v>
      </c>
    </row>
    <row r="40" spans="1:74" x14ac:dyDescent="0.2">
      <c r="A40" s="30" t="s">
        <v>243</v>
      </c>
      <c r="B40" s="30" t="s">
        <v>585</v>
      </c>
      <c r="C40" s="30" t="s">
        <v>245</v>
      </c>
      <c r="D40" s="30" t="s">
        <v>245</v>
      </c>
      <c r="E40" s="30" t="s">
        <v>245</v>
      </c>
      <c r="F40" s="30" t="s">
        <v>585</v>
      </c>
      <c r="G40" s="30" t="s">
        <v>245</v>
      </c>
      <c r="H40" s="30" t="s">
        <v>245</v>
      </c>
      <c r="I40" s="30" t="s">
        <v>2819</v>
      </c>
      <c r="K40" s="30" t="s">
        <v>586</v>
      </c>
      <c r="L40" s="30" t="s">
        <v>587</v>
      </c>
      <c r="M40" s="30" t="s">
        <v>245</v>
      </c>
      <c r="N40" s="30" t="s">
        <v>245</v>
      </c>
      <c r="O40" s="30" t="s">
        <v>245</v>
      </c>
      <c r="P40" s="30" t="s">
        <v>245</v>
      </c>
      <c r="Q40" s="30" t="s">
        <v>245</v>
      </c>
      <c r="R40" s="30" t="s">
        <v>245</v>
      </c>
      <c r="S40" s="30" t="s">
        <v>245</v>
      </c>
      <c r="T40" s="30" t="s">
        <v>245</v>
      </c>
      <c r="U40" s="30" t="s">
        <v>245</v>
      </c>
      <c r="V40" s="30" t="s">
        <v>245</v>
      </c>
      <c r="W40" s="30" t="s">
        <v>245</v>
      </c>
      <c r="X40" s="30" t="s">
        <v>245</v>
      </c>
      <c r="Y40" s="30" t="s">
        <v>245</v>
      </c>
      <c r="Z40" s="30" t="s">
        <v>245</v>
      </c>
      <c r="AA40" s="30" t="s">
        <v>245</v>
      </c>
      <c r="AB40" s="30" t="s">
        <v>245</v>
      </c>
      <c r="AC40" s="30" t="s">
        <v>588</v>
      </c>
      <c r="AD40" s="30" t="s">
        <v>589</v>
      </c>
      <c r="AE40" s="30" t="s">
        <v>245</v>
      </c>
      <c r="AF40" s="30" t="s">
        <v>245</v>
      </c>
      <c r="AG40" s="30" t="s">
        <v>245</v>
      </c>
      <c r="AH40" s="30" t="s">
        <v>245</v>
      </c>
      <c r="AI40" s="30" t="s">
        <v>245</v>
      </c>
      <c r="AJ40" s="30" t="s">
        <v>245</v>
      </c>
      <c r="AK40" s="30" t="s">
        <v>245</v>
      </c>
      <c r="AL40" s="30" t="s">
        <v>245</v>
      </c>
      <c r="AM40" s="30" t="s">
        <v>245</v>
      </c>
      <c r="AN40" s="30" t="s">
        <v>245</v>
      </c>
      <c r="AO40" s="30" t="s">
        <v>245</v>
      </c>
      <c r="AP40" s="30" t="s">
        <v>245</v>
      </c>
      <c r="AQ40" s="30" t="s">
        <v>590</v>
      </c>
      <c r="AR40" s="30" t="s">
        <v>591</v>
      </c>
      <c r="AS40" s="30" t="s">
        <v>245</v>
      </c>
      <c r="AT40" s="30" t="s">
        <v>245</v>
      </c>
      <c r="AU40" s="30" t="s">
        <v>245</v>
      </c>
      <c r="AV40" s="30" t="s">
        <v>365</v>
      </c>
      <c r="AW40" s="30">
        <v>2004</v>
      </c>
      <c r="AX40" s="30">
        <v>167</v>
      </c>
      <c r="AY40" s="30">
        <v>1</v>
      </c>
      <c r="AZ40" s="30" t="s">
        <v>245</v>
      </c>
      <c r="BA40" s="30" t="s">
        <v>245</v>
      </c>
      <c r="BB40" s="30" t="s">
        <v>245</v>
      </c>
      <c r="BC40" s="30" t="s">
        <v>245</v>
      </c>
      <c r="BD40" s="30">
        <v>7</v>
      </c>
      <c r="BE40" s="30">
        <v>16</v>
      </c>
      <c r="BF40" s="30" t="s">
        <v>245</v>
      </c>
      <c r="BG40" s="30" t="s">
        <v>592</v>
      </c>
      <c r="BH40" s="30" t="str">
        <f>HYPERLINK("http://dx.doi.org/10.1002/jpln.200321204","http://dx.doi.org/10.1002/jpln.200321204")</f>
        <v>http://dx.doi.org/10.1002/jpln.200321204</v>
      </c>
      <c r="BI40" s="30" t="s">
        <v>245</v>
      </c>
      <c r="BJ40" s="30" t="s">
        <v>245</v>
      </c>
      <c r="BK40" s="30" t="s">
        <v>245</v>
      </c>
      <c r="BL40" s="30" t="s">
        <v>245</v>
      </c>
      <c r="BM40" s="30" t="s">
        <v>245</v>
      </c>
      <c r="BN40" s="30" t="s">
        <v>245</v>
      </c>
      <c r="BO40" s="30" t="s">
        <v>245</v>
      </c>
      <c r="BP40" s="30" t="s">
        <v>245</v>
      </c>
      <c r="BQ40" s="30" t="s">
        <v>245</v>
      </c>
      <c r="BR40" s="30" t="s">
        <v>245</v>
      </c>
      <c r="BS40" s="30" t="s">
        <v>245</v>
      </c>
      <c r="BT40" s="30" t="s">
        <v>245</v>
      </c>
      <c r="BU40" s="30" t="s">
        <v>593</v>
      </c>
      <c r="BV40" s="30" t="str">
        <f>HYPERLINK("https%3A%2F%2Fwww.webofscience.com%2Fwos%2Fwoscc%2Ffull-record%2FWOS:000189158000001","View Full Record in Web of Science")</f>
        <v>View Full Record in Web of Science</v>
      </c>
    </row>
    <row r="41" spans="1:74" x14ac:dyDescent="0.2">
      <c r="A41" s="30" t="s">
        <v>243</v>
      </c>
      <c r="B41" s="30" t="s">
        <v>594</v>
      </c>
      <c r="C41" s="30" t="s">
        <v>245</v>
      </c>
      <c r="D41" s="30" t="s">
        <v>245</v>
      </c>
      <c r="E41" s="30" t="s">
        <v>245</v>
      </c>
      <c r="F41" s="30" t="s">
        <v>595</v>
      </c>
      <c r="G41" s="30" t="s">
        <v>245</v>
      </c>
      <c r="H41" s="30" t="s">
        <v>245</v>
      </c>
      <c r="I41" s="30" t="s">
        <v>2819</v>
      </c>
      <c r="K41" s="30" t="s">
        <v>596</v>
      </c>
      <c r="L41" s="30" t="s">
        <v>413</v>
      </c>
      <c r="M41" s="30" t="s">
        <v>245</v>
      </c>
      <c r="N41" s="30" t="s">
        <v>245</v>
      </c>
      <c r="O41" s="30" t="s">
        <v>245</v>
      </c>
      <c r="P41" s="30" t="s">
        <v>245</v>
      </c>
      <c r="Q41" s="30" t="s">
        <v>245</v>
      </c>
      <c r="R41" s="30" t="s">
        <v>245</v>
      </c>
      <c r="S41" s="30" t="s">
        <v>245</v>
      </c>
      <c r="T41" s="30" t="s">
        <v>245</v>
      </c>
      <c r="U41" s="30" t="s">
        <v>245</v>
      </c>
      <c r="V41" s="30" t="s">
        <v>245</v>
      </c>
      <c r="W41" s="30" t="s">
        <v>245</v>
      </c>
      <c r="X41" s="30" t="s">
        <v>245</v>
      </c>
      <c r="Y41" s="30" t="s">
        <v>245</v>
      </c>
      <c r="Z41" s="30" t="s">
        <v>245</v>
      </c>
      <c r="AA41" s="30" t="s">
        <v>245</v>
      </c>
      <c r="AB41" s="30" t="s">
        <v>245</v>
      </c>
      <c r="AC41" s="30" t="s">
        <v>597</v>
      </c>
      <c r="AD41" s="30" t="s">
        <v>598</v>
      </c>
      <c r="AE41" s="30" t="s">
        <v>245</v>
      </c>
      <c r="AF41" s="30" t="s">
        <v>245</v>
      </c>
      <c r="AG41" s="30" t="s">
        <v>245</v>
      </c>
      <c r="AH41" s="30" t="s">
        <v>245</v>
      </c>
      <c r="AI41" s="30" t="s">
        <v>245</v>
      </c>
      <c r="AJ41" s="30" t="s">
        <v>245</v>
      </c>
      <c r="AK41" s="30" t="s">
        <v>245</v>
      </c>
      <c r="AL41" s="30" t="s">
        <v>245</v>
      </c>
      <c r="AM41" s="30" t="s">
        <v>245</v>
      </c>
      <c r="AN41" s="30" t="s">
        <v>245</v>
      </c>
      <c r="AO41" s="30" t="s">
        <v>245</v>
      </c>
      <c r="AP41" s="30" t="s">
        <v>245</v>
      </c>
      <c r="AQ41" s="30" t="s">
        <v>416</v>
      </c>
      <c r="AR41" s="30" t="s">
        <v>417</v>
      </c>
      <c r="AS41" s="30" t="s">
        <v>245</v>
      </c>
      <c r="AT41" s="30" t="s">
        <v>245</v>
      </c>
      <c r="AU41" s="30" t="s">
        <v>245</v>
      </c>
      <c r="AV41" s="30" t="s">
        <v>487</v>
      </c>
      <c r="AW41" s="30">
        <v>2018</v>
      </c>
      <c r="AX41" s="30">
        <v>616</v>
      </c>
      <c r="AY41" s="30" t="s">
        <v>245</v>
      </c>
      <c r="AZ41" s="30" t="s">
        <v>245</v>
      </c>
      <c r="BA41" s="30" t="s">
        <v>245</v>
      </c>
      <c r="BB41" s="30" t="s">
        <v>245</v>
      </c>
      <c r="BC41" s="30" t="s">
        <v>245</v>
      </c>
      <c r="BD41" s="30">
        <v>1404</v>
      </c>
      <c r="BE41" s="30">
        <v>1413</v>
      </c>
      <c r="BF41" s="30" t="s">
        <v>245</v>
      </c>
      <c r="BG41" s="30" t="s">
        <v>599</v>
      </c>
      <c r="BH41" s="30" t="str">
        <f>HYPERLINK("http://dx.doi.org/10.1016/j.scitotenv.2017.10.175","http://dx.doi.org/10.1016/j.scitotenv.2017.10.175")</f>
        <v>http://dx.doi.org/10.1016/j.scitotenv.2017.10.175</v>
      </c>
      <c r="BI41" s="30" t="s">
        <v>245</v>
      </c>
      <c r="BJ41" s="30" t="s">
        <v>245</v>
      </c>
      <c r="BK41" s="30" t="s">
        <v>245</v>
      </c>
      <c r="BL41" s="30" t="s">
        <v>245</v>
      </c>
      <c r="BM41" s="30" t="s">
        <v>245</v>
      </c>
      <c r="BN41" s="30" t="s">
        <v>245</v>
      </c>
      <c r="BO41" s="30" t="s">
        <v>245</v>
      </c>
      <c r="BP41" s="30">
        <v>29122343</v>
      </c>
      <c r="BQ41" s="30" t="s">
        <v>245</v>
      </c>
      <c r="BR41" s="30" t="s">
        <v>245</v>
      </c>
      <c r="BS41" s="30" t="s">
        <v>245</v>
      </c>
      <c r="BT41" s="30" t="s">
        <v>245</v>
      </c>
      <c r="BU41" s="30" t="s">
        <v>600</v>
      </c>
      <c r="BV41" s="30" t="str">
        <f>HYPERLINK("https%3A%2F%2Fwww.webofscience.com%2Fwos%2Fwoscc%2Ffull-record%2FWOS:000424121800140","View Full Record in Web of Science")</f>
        <v>View Full Record in Web of Science</v>
      </c>
    </row>
    <row r="42" spans="1:74" x14ac:dyDescent="0.2">
      <c r="A42" s="30" t="s">
        <v>243</v>
      </c>
      <c r="B42" s="30" t="s">
        <v>601</v>
      </c>
      <c r="C42" s="30" t="s">
        <v>245</v>
      </c>
      <c r="D42" s="30" t="s">
        <v>245</v>
      </c>
      <c r="E42" s="30" t="s">
        <v>245</v>
      </c>
      <c r="F42" s="30" t="s">
        <v>602</v>
      </c>
      <c r="G42" s="30" t="s">
        <v>245</v>
      </c>
      <c r="H42" s="30" t="s">
        <v>245</v>
      </c>
      <c r="I42" s="30" t="s">
        <v>2822</v>
      </c>
      <c r="K42" s="30" t="s">
        <v>603</v>
      </c>
      <c r="L42" s="30" t="s">
        <v>336</v>
      </c>
      <c r="M42" s="30" t="s">
        <v>245</v>
      </c>
      <c r="N42" s="30" t="s">
        <v>245</v>
      </c>
      <c r="O42" s="30" t="s">
        <v>245</v>
      </c>
      <c r="P42" s="30" t="s">
        <v>245</v>
      </c>
      <c r="Q42" s="30" t="s">
        <v>245</v>
      </c>
      <c r="R42" s="30" t="s">
        <v>245</v>
      </c>
      <c r="S42" s="30" t="s">
        <v>245</v>
      </c>
      <c r="T42" s="30" t="s">
        <v>245</v>
      </c>
      <c r="U42" s="30" t="s">
        <v>245</v>
      </c>
      <c r="V42" s="30" t="s">
        <v>245</v>
      </c>
      <c r="W42" s="30" t="s">
        <v>245</v>
      </c>
      <c r="X42" s="30" t="s">
        <v>245</v>
      </c>
      <c r="Y42" s="30" t="s">
        <v>245</v>
      </c>
      <c r="Z42" s="30" t="s">
        <v>245</v>
      </c>
      <c r="AA42" s="30" t="s">
        <v>245</v>
      </c>
      <c r="AB42" s="30" t="s">
        <v>245</v>
      </c>
      <c r="AC42" s="30" t="s">
        <v>604</v>
      </c>
      <c r="AD42" s="30" t="s">
        <v>605</v>
      </c>
      <c r="AE42" s="30" t="s">
        <v>245</v>
      </c>
      <c r="AF42" s="30" t="s">
        <v>245</v>
      </c>
      <c r="AG42" s="30" t="s">
        <v>245</v>
      </c>
      <c r="AH42" s="30" t="s">
        <v>245</v>
      </c>
      <c r="AI42" s="30" t="s">
        <v>245</v>
      </c>
      <c r="AJ42" s="30" t="s">
        <v>245</v>
      </c>
      <c r="AK42" s="30" t="s">
        <v>245</v>
      </c>
      <c r="AL42" s="30" t="s">
        <v>245</v>
      </c>
      <c r="AM42" s="30" t="s">
        <v>245</v>
      </c>
      <c r="AN42" s="30" t="s">
        <v>245</v>
      </c>
      <c r="AO42" s="30" t="s">
        <v>245</v>
      </c>
      <c r="AP42" s="30" t="s">
        <v>245</v>
      </c>
      <c r="AQ42" s="30" t="s">
        <v>343</v>
      </c>
      <c r="AR42" s="30" t="s">
        <v>344</v>
      </c>
      <c r="AS42" s="30" t="s">
        <v>245</v>
      </c>
      <c r="AT42" s="30" t="s">
        <v>245</v>
      </c>
      <c r="AU42" s="30" t="s">
        <v>245</v>
      </c>
      <c r="AV42" s="30" t="s">
        <v>481</v>
      </c>
      <c r="AW42" s="30">
        <v>2023</v>
      </c>
      <c r="AX42" s="30">
        <v>127</v>
      </c>
      <c r="AY42" s="30">
        <v>3</v>
      </c>
      <c r="AZ42" s="30" t="s">
        <v>245</v>
      </c>
      <c r="BA42" s="30" t="s">
        <v>245</v>
      </c>
      <c r="BB42" s="30" t="s">
        <v>245</v>
      </c>
      <c r="BC42" s="30" t="s">
        <v>245</v>
      </c>
      <c r="BD42" s="30">
        <v>317</v>
      </c>
      <c r="BE42" s="30">
        <v>331</v>
      </c>
      <c r="BF42" s="30" t="s">
        <v>245</v>
      </c>
      <c r="BG42" s="30" t="s">
        <v>606</v>
      </c>
      <c r="BH42" s="30" t="str">
        <f>HYPERLINK("http://dx.doi.org/10.1007/s10705-023-10321-w","http://dx.doi.org/10.1007/s10705-023-10321-w")</f>
        <v>http://dx.doi.org/10.1007/s10705-023-10321-w</v>
      </c>
      <c r="BI42" s="30" t="s">
        <v>245</v>
      </c>
      <c r="BJ42" s="30" t="s">
        <v>607</v>
      </c>
      <c r="BK42" s="30" t="s">
        <v>245</v>
      </c>
      <c r="BL42" s="30" t="s">
        <v>245</v>
      </c>
      <c r="BM42" s="30" t="s">
        <v>245</v>
      </c>
      <c r="BN42" s="30" t="s">
        <v>245</v>
      </c>
      <c r="BO42" s="30" t="s">
        <v>245</v>
      </c>
      <c r="BP42" s="30">
        <v>38025204</v>
      </c>
      <c r="BQ42" s="30" t="s">
        <v>245</v>
      </c>
      <c r="BR42" s="30" t="s">
        <v>245</v>
      </c>
      <c r="BS42" s="30" t="s">
        <v>245</v>
      </c>
      <c r="BT42" s="30" t="s">
        <v>245</v>
      </c>
      <c r="BU42" s="30" t="s">
        <v>608</v>
      </c>
      <c r="BV42" s="30" t="str">
        <f>HYPERLINK("https%3A%2F%2Fwww.webofscience.com%2Fwos%2Fwoscc%2Ffull-record%2FWOS:001087541000001","View Full Record in Web of Science")</f>
        <v>View Full Record in Web of Science</v>
      </c>
    </row>
    <row r="43" spans="1:74" x14ac:dyDescent="0.2">
      <c r="A43" s="30" t="s">
        <v>243</v>
      </c>
      <c r="B43" s="30" t="s">
        <v>609</v>
      </c>
      <c r="C43" s="30" t="s">
        <v>245</v>
      </c>
      <c r="D43" s="30" t="s">
        <v>245</v>
      </c>
      <c r="E43" s="30" t="s">
        <v>245</v>
      </c>
      <c r="F43" s="30" t="s">
        <v>609</v>
      </c>
      <c r="G43" s="30" t="s">
        <v>245</v>
      </c>
      <c r="H43" s="30" t="s">
        <v>245</v>
      </c>
      <c r="I43" s="30" t="s">
        <v>2819</v>
      </c>
      <c r="K43" s="30" t="s">
        <v>610</v>
      </c>
      <c r="L43" s="30" t="s">
        <v>336</v>
      </c>
      <c r="M43" s="30" t="s">
        <v>245</v>
      </c>
      <c r="N43" s="30" t="s">
        <v>245</v>
      </c>
      <c r="O43" s="30" t="s">
        <v>245</v>
      </c>
      <c r="P43" s="30" t="s">
        <v>245</v>
      </c>
      <c r="Q43" s="30" t="s">
        <v>245</v>
      </c>
      <c r="R43" s="30" t="s">
        <v>245</v>
      </c>
      <c r="S43" s="30" t="s">
        <v>245</v>
      </c>
      <c r="T43" s="30" t="s">
        <v>245</v>
      </c>
      <c r="U43" s="30" t="s">
        <v>245</v>
      </c>
      <c r="V43" s="30" t="s">
        <v>245</v>
      </c>
      <c r="W43" s="30" t="s">
        <v>245</v>
      </c>
      <c r="X43" s="30" t="s">
        <v>245</v>
      </c>
      <c r="Y43" s="30" t="s">
        <v>245</v>
      </c>
      <c r="Z43" s="30" t="s">
        <v>245</v>
      </c>
      <c r="AA43" s="30" t="s">
        <v>245</v>
      </c>
      <c r="AB43" s="30" t="s">
        <v>245</v>
      </c>
      <c r="AC43" s="30" t="s">
        <v>611</v>
      </c>
      <c r="AD43" s="30" t="s">
        <v>612</v>
      </c>
      <c r="AE43" s="30" t="s">
        <v>245</v>
      </c>
      <c r="AF43" s="30" t="s">
        <v>245</v>
      </c>
      <c r="AG43" s="30" t="s">
        <v>245</v>
      </c>
      <c r="AH43" s="30" t="s">
        <v>245</v>
      </c>
      <c r="AI43" s="30" t="s">
        <v>245</v>
      </c>
      <c r="AJ43" s="30" t="s">
        <v>245</v>
      </c>
      <c r="AK43" s="30" t="s">
        <v>245</v>
      </c>
      <c r="AL43" s="30" t="s">
        <v>245</v>
      </c>
      <c r="AM43" s="30" t="s">
        <v>245</v>
      </c>
      <c r="AN43" s="30" t="s">
        <v>245</v>
      </c>
      <c r="AO43" s="30" t="s">
        <v>245</v>
      </c>
      <c r="AP43" s="30" t="s">
        <v>245</v>
      </c>
      <c r="AQ43" s="30" t="s">
        <v>343</v>
      </c>
      <c r="AR43" s="30" t="s">
        <v>344</v>
      </c>
      <c r="AS43" s="30" t="s">
        <v>245</v>
      </c>
      <c r="AT43" s="30" t="s">
        <v>245</v>
      </c>
      <c r="AU43" s="30" t="s">
        <v>245</v>
      </c>
      <c r="AV43" s="30" t="s">
        <v>245</v>
      </c>
      <c r="AW43" s="30">
        <v>1996</v>
      </c>
      <c r="AX43" s="30">
        <v>46</v>
      </c>
      <c r="AY43" s="30">
        <v>3</v>
      </c>
      <c r="AZ43" s="30" t="s">
        <v>245</v>
      </c>
      <c r="BA43" s="30" t="s">
        <v>245</v>
      </c>
      <c r="BB43" s="30" t="s">
        <v>245</v>
      </c>
      <c r="BC43" s="30" t="s">
        <v>245</v>
      </c>
      <c r="BD43" s="30">
        <v>257</v>
      </c>
      <c r="BE43" s="30">
        <v>267</v>
      </c>
      <c r="BF43" s="30" t="s">
        <v>245</v>
      </c>
      <c r="BG43" s="30" t="s">
        <v>613</v>
      </c>
      <c r="BH43" s="30" t="str">
        <f>HYPERLINK("http://dx.doi.org/10.1007/BF00420561","http://dx.doi.org/10.1007/BF00420561")</f>
        <v>http://dx.doi.org/10.1007/BF00420561</v>
      </c>
      <c r="BI43" s="30" t="s">
        <v>245</v>
      </c>
      <c r="BJ43" s="30" t="s">
        <v>245</v>
      </c>
      <c r="BK43" s="30" t="s">
        <v>245</v>
      </c>
      <c r="BL43" s="30" t="s">
        <v>245</v>
      </c>
      <c r="BM43" s="30" t="s">
        <v>245</v>
      </c>
      <c r="BN43" s="30" t="s">
        <v>245</v>
      </c>
      <c r="BO43" s="30" t="s">
        <v>245</v>
      </c>
      <c r="BP43" s="30" t="s">
        <v>245</v>
      </c>
      <c r="BQ43" s="30" t="s">
        <v>245</v>
      </c>
      <c r="BR43" s="30" t="s">
        <v>245</v>
      </c>
      <c r="BS43" s="30" t="s">
        <v>245</v>
      </c>
      <c r="BT43" s="30" t="s">
        <v>245</v>
      </c>
      <c r="BU43" s="30" t="s">
        <v>614</v>
      </c>
      <c r="BV43" s="30" t="str">
        <f>HYPERLINK("https%3A%2F%2Fwww.webofscience.com%2Fwos%2Fwoscc%2Ffull-record%2FWOS:A1996WN69900012","View Full Record in Web of Science")</f>
        <v>View Full Record in Web of Science</v>
      </c>
    </row>
    <row r="44" spans="1:74" x14ac:dyDescent="0.2">
      <c r="A44" s="30" t="s">
        <v>243</v>
      </c>
      <c r="B44" s="30" t="s">
        <v>615</v>
      </c>
      <c r="C44" s="30" t="s">
        <v>245</v>
      </c>
      <c r="D44" s="30" t="s">
        <v>245</v>
      </c>
      <c r="E44" s="30" t="s">
        <v>245</v>
      </c>
      <c r="F44" s="30" t="s">
        <v>616</v>
      </c>
      <c r="G44" s="30" t="s">
        <v>245</v>
      </c>
      <c r="H44" s="30" t="s">
        <v>245</v>
      </c>
      <c r="I44" s="30" t="s">
        <v>2823</v>
      </c>
      <c r="K44" s="30" t="s">
        <v>617</v>
      </c>
      <c r="L44" s="30" t="s">
        <v>402</v>
      </c>
      <c r="M44" s="30" t="s">
        <v>245</v>
      </c>
      <c r="N44" s="30" t="s">
        <v>245</v>
      </c>
      <c r="O44" s="30" t="s">
        <v>245</v>
      </c>
      <c r="P44" s="30" t="s">
        <v>245</v>
      </c>
      <c r="Q44" s="30" t="s">
        <v>245</v>
      </c>
      <c r="R44" s="30" t="s">
        <v>245</v>
      </c>
      <c r="S44" s="30" t="s">
        <v>245</v>
      </c>
      <c r="T44" s="30" t="s">
        <v>245</v>
      </c>
      <c r="U44" s="30" t="s">
        <v>245</v>
      </c>
      <c r="V44" s="30" t="s">
        <v>245</v>
      </c>
      <c r="W44" s="30" t="s">
        <v>245</v>
      </c>
      <c r="X44" s="30" t="s">
        <v>245</v>
      </c>
      <c r="Y44" s="30" t="s">
        <v>245</v>
      </c>
      <c r="Z44" s="30" t="s">
        <v>245</v>
      </c>
      <c r="AA44" s="30" t="s">
        <v>245</v>
      </c>
      <c r="AB44" s="30" t="s">
        <v>245</v>
      </c>
      <c r="AC44" s="30" t="s">
        <v>618</v>
      </c>
      <c r="AD44" s="30" t="s">
        <v>619</v>
      </c>
      <c r="AE44" s="30" t="s">
        <v>245</v>
      </c>
      <c r="AF44" s="30" t="s">
        <v>245</v>
      </c>
      <c r="AG44" s="30" t="s">
        <v>245</v>
      </c>
      <c r="AH44" s="30" t="s">
        <v>245</v>
      </c>
      <c r="AI44" s="30" t="s">
        <v>245</v>
      </c>
      <c r="AJ44" s="30" t="s">
        <v>245</v>
      </c>
      <c r="AK44" s="30" t="s">
        <v>245</v>
      </c>
      <c r="AL44" s="30" t="s">
        <v>245</v>
      </c>
      <c r="AM44" s="30" t="s">
        <v>245</v>
      </c>
      <c r="AN44" s="30" t="s">
        <v>245</v>
      </c>
      <c r="AO44" s="30" t="s">
        <v>245</v>
      </c>
      <c r="AP44" s="30" t="s">
        <v>245</v>
      </c>
      <c r="AQ44" s="30" t="s">
        <v>405</v>
      </c>
      <c r="AR44" s="30" t="s">
        <v>406</v>
      </c>
      <c r="AS44" s="30" t="s">
        <v>245</v>
      </c>
      <c r="AT44" s="30" t="s">
        <v>245</v>
      </c>
      <c r="AU44" s="30" t="s">
        <v>245</v>
      </c>
      <c r="AV44" s="30" t="s">
        <v>265</v>
      </c>
      <c r="AW44" s="30">
        <v>2017</v>
      </c>
      <c r="AX44" s="30">
        <v>17</v>
      </c>
      <c r="AY44" s="30">
        <v>6</v>
      </c>
      <c r="AZ44" s="30" t="s">
        <v>245</v>
      </c>
      <c r="BA44" s="30" t="s">
        <v>245</v>
      </c>
      <c r="BB44" s="30" t="s">
        <v>245</v>
      </c>
      <c r="BC44" s="30" t="s">
        <v>245</v>
      </c>
      <c r="BD44" s="30">
        <v>1635</v>
      </c>
      <c r="BE44" s="30">
        <v>1643</v>
      </c>
      <c r="BF44" s="30" t="s">
        <v>245</v>
      </c>
      <c r="BG44" s="30" t="s">
        <v>620</v>
      </c>
      <c r="BH44" s="30" t="str">
        <f>HYPERLINK("http://dx.doi.org/10.1007/s11368-016-1633-9","http://dx.doi.org/10.1007/s11368-016-1633-9")</f>
        <v>http://dx.doi.org/10.1007/s11368-016-1633-9</v>
      </c>
      <c r="BI44" s="30" t="s">
        <v>245</v>
      </c>
      <c r="BJ44" s="30" t="s">
        <v>245</v>
      </c>
      <c r="BK44" s="30" t="s">
        <v>245</v>
      </c>
      <c r="BL44" s="30" t="s">
        <v>245</v>
      </c>
      <c r="BM44" s="30" t="s">
        <v>245</v>
      </c>
      <c r="BN44" s="30" t="s">
        <v>245</v>
      </c>
      <c r="BO44" s="30" t="s">
        <v>245</v>
      </c>
      <c r="BP44" s="30" t="s">
        <v>245</v>
      </c>
      <c r="BQ44" s="30" t="s">
        <v>245</v>
      </c>
      <c r="BR44" s="30" t="s">
        <v>245</v>
      </c>
      <c r="BS44" s="30" t="s">
        <v>245</v>
      </c>
      <c r="BT44" s="30" t="s">
        <v>245</v>
      </c>
      <c r="BU44" s="30" t="s">
        <v>621</v>
      </c>
      <c r="BV44" s="30" t="str">
        <f>HYPERLINK("https%3A%2F%2Fwww.webofscience.com%2Fwos%2Fwoscc%2Ffull-record%2FWOS:000401436200011","View Full Record in Web of Science")</f>
        <v>View Full Record in Web of Science</v>
      </c>
    </row>
    <row r="45" spans="1:74" x14ac:dyDescent="0.2">
      <c r="A45" s="30" t="s">
        <v>243</v>
      </c>
      <c r="B45" s="30" t="s">
        <v>622</v>
      </c>
      <c r="C45" s="30" t="s">
        <v>245</v>
      </c>
      <c r="D45" s="30" t="s">
        <v>245</v>
      </c>
      <c r="E45" s="30" t="s">
        <v>245</v>
      </c>
      <c r="F45" s="30" t="s">
        <v>623</v>
      </c>
      <c r="G45" s="30" t="s">
        <v>245</v>
      </c>
      <c r="H45" s="30" t="s">
        <v>245</v>
      </c>
      <c r="I45" s="30" t="s">
        <v>2819</v>
      </c>
      <c r="K45" s="30" t="s">
        <v>624</v>
      </c>
      <c r="L45" s="30" t="s">
        <v>282</v>
      </c>
      <c r="M45" s="30" t="s">
        <v>245</v>
      </c>
      <c r="N45" s="30" t="s">
        <v>245</v>
      </c>
      <c r="O45" s="30" t="s">
        <v>245</v>
      </c>
      <c r="P45" s="30" t="s">
        <v>245</v>
      </c>
      <c r="Q45" s="30" t="s">
        <v>245</v>
      </c>
      <c r="R45" s="30" t="s">
        <v>245</v>
      </c>
      <c r="S45" s="30" t="s">
        <v>245</v>
      </c>
      <c r="T45" s="30" t="s">
        <v>245</v>
      </c>
      <c r="U45" s="30" t="s">
        <v>245</v>
      </c>
      <c r="V45" s="30" t="s">
        <v>245</v>
      </c>
      <c r="W45" s="30" t="s">
        <v>245</v>
      </c>
      <c r="X45" s="30" t="s">
        <v>245</v>
      </c>
      <c r="Y45" s="30" t="s">
        <v>245</v>
      </c>
      <c r="Z45" s="30" t="s">
        <v>245</v>
      </c>
      <c r="AA45" s="30" t="s">
        <v>245</v>
      </c>
      <c r="AB45" s="30" t="s">
        <v>245</v>
      </c>
      <c r="AC45" s="30" t="s">
        <v>625</v>
      </c>
      <c r="AD45" s="30" t="s">
        <v>626</v>
      </c>
      <c r="AE45" s="30" t="s">
        <v>245</v>
      </c>
      <c r="AF45" s="30" t="s">
        <v>245</v>
      </c>
      <c r="AG45" s="30" t="s">
        <v>245</v>
      </c>
      <c r="AH45" s="30" t="s">
        <v>245</v>
      </c>
      <c r="AI45" s="30" t="s">
        <v>245</v>
      </c>
      <c r="AJ45" s="30" t="s">
        <v>245</v>
      </c>
      <c r="AK45" s="30" t="s">
        <v>245</v>
      </c>
      <c r="AL45" s="30" t="s">
        <v>245</v>
      </c>
      <c r="AM45" s="30" t="s">
        <v>245</v>
      </c>
      <c r="AN45" s="30" t="s">
        <v>245</v>
      </c>
      <c r="AO45" s="30" t="s">
        <v>245</v>
      </c>
      <c r="AP45" s="30" t="s">
        <v>245</v>
      </c>
      <c r="AQ45" s="30" t="s">
        <v>285</v>
      </c>
      <c r="AR45" s="30" t="s">
        <v>370</v>
      </c>
      <c r="AS45" s="30" t="s">
        <v>245</v>
      </c>
      <c r="AT45" s="30" t="s">
        <v>245</v>
      </c>
      <c r="AU45" s="30" t="s">
        <v>245</v>
      </c>
      <c r="AV45" s="30" t="s">
        <v>297</v>
      </c>
      <c r="AW45" s="30">
        <v>2017</v>
      </c>
      <c r="AX45" s="30">
        <v>113</v>
      </c>
      <c r="AY45" s="30" t="s">
        <v>245</v>
      </c>
      <c r="AZ45" s="30" t="s">
        <v>245</v>
      </c>
      <c r="BA45" s="30" t="s">
        <v>245</v>
      </c>
      <c r="BB45" s="30" t="s">
        <v>245</v>
      </c>
      <c r="BC45" s="30" t="s">
        <v>245</v>
      </c>
      <c r="BD45" s="30">
        <v>153</v>
      </c>
      <c r="BE45" s="30">
        <v>160</v>
      </c>
      <c r="BF45" s="30" t="s">
        <v>245</v>
      </c>
      <c r="BG45" s="30" t="s">
        <v>627</v>
      </c>
      <c r="BH45" s="30" t="str">
        <f>HYPERLINK("http://dx.doi.org/10.1016/j.soilbio.2017.06.007","http://dx.doi.org/10.1016/j.soilbio.2017.06.007")</f>
        <v>http://dx.doi.org/10.1016/j.soilbio.2017.06.007</v>
      </c>
      <c r="BI45" s="30" t="s">
        <v>245</v>
      </c>
      <c r="BJ45" s="30" t="s">
        <v>245</v>
      </c>
      <c r="BK45" s="30" t="s">
        <v>245</v>
      </c>
      <c r="BL45" s="30" t="s">
        <v>245</v>
      </c>
      <c r="BM45" s="30" t="s">
        <v>245</v>
      </c>
      <c r="BN45" s="30" t="s">
        <v>245</v>
      </c>
      <c r="BO45" s="30" t="s">
        <v>245</v>
      </c>
      <c r="BP45" s="30" t="s">
        <v>245</v>
      </c>
      <c r="BQ45" s="30" t="s">
        <v>245</v>
      </c>
      <c r="BR45" s="30" t="s">
        <v>245</v>
      </c>
      <c r="BS45" s="30" t="s">
        <v>245</v>
      </c>
      <c r="BT45" s="30" t="s">
        <v>245</v>
      </c>
      <c r="BU45" s="30" t="s">
        <v>628</v>
      </c>
      <c r="BV45" s="30" t="str">
        <f>HYPERLINK("https%3A%2F%2Fwww.webofscience.com%2Fwos%2Fwoscc%2Ffull-record%2FWOS:000407536200017","View Full Record in Web of Science")</f>
        <v>View Full Record in Web of Science</v>
      </c>
    </row>
    <row r="46" spans="1:74" x14ac:dyDescent="0.2">
      <c r="A46" s="30" t="s">
        <v>243</v>
      </c>
      <c r="B46" s="30" t="s">
        <v>629</v>
      </c>
      <c r="C46" s="30" t="s">
        <v>245</v>
      </c>
      <c r="D46" s="30" t="s">
        <v>245</v>
      </c>
      <c r="E46" s="30" t="s">
        <v>245</v>
      </c>
      <c r="F46" s="30" t="s">
        <v>630</v>
      </c>
      <c r="G46" s="30" t="s">
        <v>245</v>
      </c>
      <c r="H46" s="30" t="s">
        <v>245</v>
      </c>
      <c r="I46" s="30" t="s">
        <v>2826</v>
      </c>
      <c r="K46" s="30" t="s">
        <v>631</v>
      </c>
      <c r="L46" s="30" t="s">
        <v>632</v>
      </c>
      <c r="M46" s="30" t="s">
        <v>245</v>
      </c>
      <c r="N46" s="30" t="s">
        <v>245</v>
      </c>
      <c r="O46" s="30" t="s">
        <v>245</v>
      </c>
      <c r="P46" s="30" t="s">
        <v>245</v>
      </c>
      <c r="Q46" s="30" t="s">
        <v>245</v>
      </c>
      <c r="R46" s="30" t="s">
        <v>245</v>
      </c>
      <c r="S46" s="30" t="s">
        <v>245</v>
      </c>
      <c r="T46" s="30" t="s">
        <v>245</v>
      </c>
      <c r="U46" s="30" t="s">
        <v>245</v>
      </c>
      <c r="V46" s="30" t="s">
        <v>245</v>
      </c>
      <c r="W46" s="30" t="s">
        <v>245</v>
      </c>
      <c r="X46" s="30" t="s">
        <v>245</v>
      </c>
      <c r="Y46" s="30" t="s">
        <v>245</v>
      </c>
      <c r="Z46" s="30" t="s">
        <v>245</v>
      </c>
      <c r="AA46" s="30" t="s">
        <v>245</v>
      </c>
      <c r="AB46" s="30" t="s">
        <v>245</v>
      </c>
      <c r="AC46" s="30" t="s">
        <v>245</v>
      </c>
      <c r="AD46" s="30" t="s">
        <v>245</v>
      </c>
      <c r="AE46" s="30" t="s">
        <v>245</v>
      </c>
      <c r="AF46" s="30" t="s">
        <v>245</v>
      </c>
      <c r="AG46" s="30" t="s">
        <v>245</v>
      </c>
      <c r="AH46" s="30" t="s">
        <v>245</v>
      </c>
      <c r="AI46" s="30" t="s">
        <v>245</v>
      </c>
      <c r="AJ46" s="30" t="s">
        <v>245</v>
      </c>
      <c r="AK46" s="30" t="s">
        <v>245</v>
      </c>
      <c r="AL46" s="30" t="s">
        <v>245</v>
      </c>
      <c r="AM46" s="30" t="s">
        <v>245</v>
      </c>
      <c r="AN46" s="30" t="s">
        <v>245</v>
      </c>
      <c r="AO46" s="30" t="s">
        <v>245</v>
      </c>
      <c r="AP46" s="30" t="s">
        <v>245</v>
      </c>
      <c r="AQ46" s="30" t="s">
        <v>633</v>
      </c>
      <c r="AR46" s="30" t="s">
        <v>634</v>
      </c>
      <c r="AS46" s="30" t="s">
        <v>245</v>
      </c>
      <c r="AT46" s="30" t="s">
        <v>245</v>
      </c>
      <c r="AU46" s="30" t="s">
        <v>245</v>
      </c>
      <c r="AV46" s="30" t="s">
        <v>635</v>
      </c>
      <c r="AW46" s="30">
        <v>2017</v>
      </c>
      <c r="AX46" s="30">
        <v>201</v>
      </c>
      <c r="AY46" s="30" t="s">
        <v>245</v>
      </c>
      <c r="AZ46" s="30" t="s">
        <v>245</v>
      </c>
      <c r="BA46" s="30" t="s">
        <v>245</v>
      </c>
      <c r="BB46" s="30" t="s">
        <v>245</v>
      </c>
      <c r="BC46" s="30" t="s">
        <v>245</v>
      </c>
      <c r="BD46" s="30">
        <v>309</v>
      </c>
      <c r="BE46" s="30">
        <v>314</v>
      </c>
      <c r="BF46" s="30" t="s">
        <v>245</v>
      </c>
      <c r="BG46" s="30" t="s">
        <v>636</v>
      </c>
      <c r="BH46" s="30" t="str">
        <f>HYPERLINK("http://dx.doi.org/10.1016/j.jenvman.2017.06.064","http://dx.doi.org/10.1016/j.jenvman.2017.06.064")</f>
        <v>http://dx.doi.org/10.1016/j.jenvman.2017.06.064</v>
      </c>
      <c r="BI46" s="30" t="s">
        <v>245</v>
      </c>
      <c r="BJ46" s="30" t="s">
        <v>245</v>
      </c>
      <c r="BK46" s="30" t="s">
        <v>245</v>
      </c>
      <c r="BL46" s="30" t="s">
        <v>245</v>
      </c>
      <c r="BM46" s="30" t="s">
        <v>245</v>
      </c>
      <c r="BN46" s="30" t="s">
        <v>245</v>
      </c>
      <c r="BO46" s="30" t="s">
        <v>245</v>
      </c>
      <c r="BP46" s="30">
        <v>28686922</v>
      </c>
      <c r="BQ46" s="30" t="s">
        <v>245</v>
      </c>
      <c r="BR46" s="30" t="s">
        <v>245</v>
      </c>
      <c r="BS46" s="30" t="s">
        <v>245</v>
      </c>
      <c r="BT46" s="30" t="s">
        <v>245</v>
      </c>
      <c r="BU46" s="30" t="s">
        <v>637</v>
      </c>
      <c r="BV46" s="30" t="str">
        <f>HYPERLINK("https%3A%2F%2Fwww.webofscience.com%2Fwos%2Fwoscc%2Ffull-record%2FWOS:000407662000034","View Full Record in Web of Science")</f>
        <v>View Full Record in Web of Science</v>
      </c>
    </row>
    <row r="47" spans="1:74" x14ac:dyDescent="0.2">
      <c r="A47" s="30" t="s">
        <v>243</v>
      </c>
      <c r="B47" s="30" t="s">
        <v>638</v>
      </c>
      <c r="C47" s="30" t="s">
        <v>245</v>
      </c>
      <c r="D47" s="30" t="s">
        <v>245</v>
      </c>
      <c r="E47" s="30" t="s">
        <v>245</v>
      </c>
      <c r="F47" s="30" t="s">
        <v>639</v>
      </c>
      <c r="G47" s="30" t="s">
        <v>245</v>
      </c>
      <c r="H47" s="30" t="s">
        <v>245</v>
      </c>
      <c r="I47" s="30" t="s">
        <v>2821</v>
      </c>
      <c r="K47" s="30" t="s">
        <v>640</v>
      </c>
      <c r="L47" s="30" t="s">
        <v>641</v>
      </c>
      <c r="M47" s="30" t="s">
        <v>245</v>
      </c>
      <c r="N47" s="30" t="s">
        <v>245</v>
      </c>
      <c r="O47" s="30" t="s">
        <v>245</v>
      </c>
      <c r="P47" s="30" t="s">
        <v>245</v>
      </c>
      <c r="Q47" s="30" t="s">
        <v>245</v>
      </c>
      <c r="R47" s="30" t="s">
        <v>245</v>
      </c>
      <c r="S47" s="30" t="s">
        <v>245</v>
      </c>
      <c r="T47" s="30" t="s">
        <v>245</v>
      </c>
      <c r="U47" s="30" t="s">
        <v>245</v>
      </c>
      <c r="V47" s="30" t="s">
        <v>245</v>
      </c>
      <c r="W47" s="30" t="s">
        <v>245</v>
      </c>
      <c r="X47" s="30" t="s">
        <v>245</v>
      </c>
      <c r="Y47" s="30" t="s">
        <v>245</v>
      </c>
      <c r="Z47" s="30" t="s">
        <v>245</v>
      </c>
      <c r="AA47" s="30" t="s">
        <v>245</v>
      </c>
      <c r="AB47" s="30" t="s">
        <v>245</v>
      </c>
      <c r="AC47" s="30" t="s">
        <v>642</v>
      </c>
      <c r="AD47" s="30" t="s">
        <v>643</v>
      </c>
      <c r="AE47" s="30" t="s">
        <v>245</v>
      </c>
      <c r="AF47" s="30" t="s">
        <v>245</v>
      </c>
      <c r="AG47" s="30" t="s">
        <v>245</v>
      </c>
      <c r="AH47" s="30" t="s">
        <v>245</v>
      </c>
      <c r="AI47" s="30" t="s">
        <v>245</v>
      </c>
      <c r="AJ47" s="30" t="s">
        <v>245</v>
      </c>
      <c r="AK47" s="30" t="s">
        <v>245</v>
      </c>
      <c r="AL47" s="30" t="s">
        <v>245</v>
      </c>
      <c r="AM47" s="30" t="s">
        <v>245</v>
      </c>
      <c r="AN47" s="30" t="s">
        <v>245</v>
      </c>
      <c r="AO47" s="30" t="s">
        <v>245</v>
      </c>
      <c r="AP47" s="30" t="s">
        <v>245</v>
      </c>
      <c r="AQ47" s="30" t="s">
        <v>644</v>
      </c>
      <c r="AR47" s="30" t="s">
        <v>645</v>
      </c>
      <c r="AS47" s="30" t="s">
        <v>245</v>
      </c>
      <c r="AT47" s="30" t="s">
        <v>245</v>
      </c>
      <c r="AU47" s="30" t="s">
        <v>245</v>
      </c>
      <c r="AV47" s="30" t="s">
        <v>646</v>
      </c>
      <c r="AW47" s="30">
        <v>2012</v>
      </c>
      <c r="AX47" s="30">
        <v>41</v>
      </c>
      <c r="AY47" s="30">
        <v>4</v>
      </c>
      <c r="AZ47" s="30" t="s">
        <v>245</v>
      </c>
      <c r="BA47" s="30" t="s">
        <v>245</v>
      </c>
      <c r="BB47" s="30" t="s">
        <v>245</v>
      </c>
      <c r="BC47" s="30" t="s">
        <v>245</v>
      </c>
      <c r="BD47" s="30">
        <v>1203</v>
      </c>
      <c r="BE47" s="30">
        <v>1209</v>
      </c>
      <c r="BF47" s="30" t="s">
        <v>245</v>
      </c>
      <c r="BG47" s="30" t="s">
        <v>647</v>
      </c>
      <c r="BH47" s="30" t="str">
        <f>HYPERLINK("http://dx.doi.org/10.2134/jeq2011.0119","http://dx.doi.org/10.2134/jeq2011.0119")</f>
        <v>http://dx.doi.org/10.2134/jeq2011.0119</v>
      </c>
      <c r="BI47" s="30" t="s">
        <v>245</v>
      </c>
      <c r="BJ47" s="30" t="s">
        <v>245</v>
      </c>
      <c r="BK47" s="30" t="s">
        <v>245</v>
      </c>
      <c r="BL47" s="30" t="s">
        <v>245</v>
      </c>
      <c r="BM47" s="30" t="s">
        <v>245</v>
      </c>
      <c r="BN47" s="30" t="s">
        <v>245</v>
      </c>
      <c r="BO47" s="30" t="s">
        <v>245</v>
      </c>
      <c r="BP47" s="30">
        <v>22751063</v>
      </c>
      <c r="BQ47" s="30" t="s">
        <v>245</v>
      </c>
      <c r="BR47" s="30" t="s">
        <v>245</v>
      </c>
      <c r="BS47" s="30" t="s">
        <v>245</v>
      </c>
      <c r="BT47" s="30" t="s">
        <v>245</v>
      </c>
      <c r="BU47" s="30" t="s">
        <v>648</v>
      </c>
      <c r="BV47" s="30" t="str">
        <f>HYPERLINK("https%3A%2F%2Fwww.webofscience.com%2Fwos%2Fwoscc%2Ffull-record%2FWOS:000305966900025","View Full Record in Web of Science")</f>
        <v>View Full Record in Web of Science</v>
      </c>
    </row>
    <row r="48" spans="1:74" x14ac:dyDescent="0.2">
      <c r="A48" s="30" t="s">
        <v>243</v>
      </c>
      <c r="B48" s="30" t="s">
        <v>649</v>
      </c>
      <c r="C48" s="30" t="s">
        <v>245</v>
      </c>
      <c r="D48" s="30" t="s">
        <v>245</v>
      </c>
      <c r="E48" s="30" t="s">
        <v>245</v>
      </c>
      <c r="F48" s="30" t="s">
        <v>650</v>
      </c>
      <c r="G48" s="30" t="s">
        <v>245</v>
      </c>
      <c r="H48" s="30" t="s">
        <v>245</v>
      </c>
      <c r="J48" s="30" t="s">
        <v>2828</v>
      </c>
      <c r="K48" s="30" t="s">
        <v>651</v>
      </c>
      <c r="L48" s="30" t="s">
        <v>652</v>
      </c>
      <c r="M48" s="30" t="s">
        <v>245</v>
      </c>
      <c r="N48" s="30" t="s">
        <v>245</v>
      </c>
      <c r="O48" s="30" t="s">
        <v>245</v>
      </c>
      <c r="P48" s="30" t="s">
        <v>245</v>
      </c>
      <c r="Q48" s="30" t="s">
        <v>245</v>
      </c>
      <c r="R48" s="30" t="s">
        <v>245</v>
      </c>
      <c r="S48" s="30" t="s">
        <v>245</v>
      </c>
      <c r="T48" s="30" t="s">
        <v>245</v>
      </c>
      <c r="U48" s="30" t="s">
        <v>245</v>
      </c>
      <c r="V48" s="30" t="s">
        <v>245</v>
      </c>
      <c r="W48" s="30" t="s">
        <v>245</v>
      </c>
      <c r="X48" s="30" t="s">
        <v>245</v>
      </c>
      <c r="Y48" s="30" t="s">
        <v>245</v>
      </c>
      <c r="Z48" s="30" t="s">
        <v>245</v>
      </c>
      <c r="AA48" s="30" t="s">
        <v>245</v>
      </c>
      <c r="AB48" s="30" t="s">
        <v>245</v>
      </c>
      <c r="AC48" s="30" t="s">
        <v>653</v>
      </c>
      <c r="AD48" s="30" t="s">
        <v>654</v>
      </c>
      <c r="AE48" s="30" t="s">
        <v>245</v>
      </c>
      <c r="AF48" s="30" t="s">
        <v>245</v>
      </c>
      <c r="AG48" s="30" t="s">
        <v>245</v>
      </c>
      <c r="AH48" s="30" t="s">
        <v>245</v>
      </c>
      <c r="AI48" s="30" t="s">
        <v>245</v>
      </c>
      <c r="AJ48" s="30" t="s">
        <v>245</v>
      </c>
      <c r="AK48" s="30" t="s">
        <v>245</v>
      </c>
      <c r="AL48" s="30" t="s">
        <v>245</v>
      </c>
      <c r="AM48" s="30" t="s">
        <v>245</v>
      </c>
      <c r="AN48" s="30" t="s">
        <v>245</v>
      </c>
      <c r="AO48" s="30" t="s">
        <v>245</v>
      </c>
      <c r="AP48" s="30" t="s">
        <v>245</v>
      </c>
      <c r="AQ48" s="30" t="s">
        <v>245</v>
      </c>
      <c r="AR48" s="30" t="s">
        <v>655</v>
      </c>
      <c r="AS48" s="30" t="s">
        <v>245</v>
      </c>
      <c r="AT48" s="30" t="s">
        <v>245</v>
      </c>
      <c r="AU48" s="30" t="s">
        <v>245</v>
      </c>
      <c r="AV48" s="30" t="s">
        <v>481</v>
      </c>
      <c r="AW48" s="30">
        <v>2020</v>
      </c>
      <c r="AX48" s="30">
        <v>10</v>
      </c>
      <c r="AY48" s="30">
        <v>12</v>
      </c>
      <c r="AZ48" s="30" t="s">
        <v>245</v>
      </c>
      <c r="BA48" s="30" t="s">
        <v>245</v>
      </c>
      <c r="BB48" s="30" t="s">
        <v>245</v>
      </c>
      <c r="BC48" s="30" t="s">
        <v>245</v>
      </c>
      <c r="BD48" s="30" t="s">
        <v>245</v>
      </c>
      <c r="BE48" s="30" t="s">
        <v>245</v>
      </c>
      <c r="BF48" s="30">
        <v>623</v>
      </c>
      <c r="BG48" s="30" t="s">
        <v>656</v>
      </c>
      <c r="BH48" s="30" t="str">
        <f>HYPERLINK("http://dx.doi.org/10.3390/agriculture10120623","http://dx.doi.org/10.3390/agriculture10120623")</f>
        <v>http://dx.doi.org/10.3390/agriculture10120623</v>
      </c>
      <c r="BI48" s="30" t="s">
        <v>245</v>
      </c>
      <c r="BJ48" s="30" t="s">
        <v>245</v>
      </c>
      <c r="BK48" s="30" t="s">
        <v>245</v>
      </c>
      <c r="BL48" s="30" t="s">
        <v>245</v>
      </c>
      <c r="BM48" s="30" t="s">
        <v>245</v>
      </c>
      <c r="BN48" s="30" t="s">
        <v>245</v>
      </c>
      <c r="BO48" s="30" t="s">
        <v>245</v>
      </c>
      <c r="BP48" s="30" t="s">
        <v>245</v>
      </c>
      <c r="BQ48" s="30" t="s">
        <v>245</v>
      </c>
      <c r="BR48" s="30" t="s">
        <v>245</v>
      </c>
      <c r="BS48" s="30" t="s">
        <v>245</v>
      </c>
      <c r="BT48" s="30" t="s">
        <v>245</v>
      </c>
      <c r="BU48" s="30" t="s">
        <v>657</v>
      </c>
      <c r="BV48" s="30" t="str">
        <f>HYPERLINK("https%3A%2F%2Fwww.webofscience.com%2Fwos%2Fwoscc%2Ffull-record%2FWOS:000601797800001","View Full Record in Web of Science")</f>
        <v>View Full Record in Web of Science</v>
      </c>
    </row>
    <row r="49" spans="1:74" x14ac:dyDescent="0.2">
      <c r="A49" s="30" t="s">
        <v>243</v>
      </c>
      <c r="B49" s="30" t="s">
        <v>658</v>
      </c>
      <c r="C49" s="30" t="s">
        <v>245</v>
      </c>
      <c r="D49" s="30" t="s">
        <v>245</v>
      </c>
      <c r="E49" s="30" t="s">
        <v>245</v>
      </c>
      <c r="F49" s="30" t="s">
        <v>659</v>
      </c>
      <c r="G49" s="30" t="s">
        <v>245</v>
      </c>
      <c r="H49" s="30" t="s">
        <v>245</v>
      </c>
      <c r="I49" s="30" t="s">
        <v>2819</v>
      </c>
      <c r="K49" s="30" t="s">
        <v>129</v>
      </c>
      <c r="L49" s="30" t="s">
        <v>376</v>
      </c>
      <c r="M49" s="30" t="s">
        <v>245</v>
      </c>
      <c r="N49" s="30" t="s">
        <v>245</v>
      </c>
      <c r="O49" s="30" t="s">
        <v>245</v>
      </c>
      <c r="P49" s="30" t="s">
        <v>245</v>
      </c>
      <c r="Q49" s="30" t="s">
        <v>245</v>
      </c>
      <c r="R49" s="30" t="s">
        <v>245</v>
      </c>
      <c r="S49" s="30" t="s">
        <v>245</v>
      </c>
      <c r="T49" s="30" t="s">
        <v>245</v>
      </c>
      <c r="U49" s="30" t="s">
        <v>245</v>
      </c>
      <c r="V49" s="30" t="s">
        <v>245</v>
      </c>
      <c r="W49" s="30" t="s">
        <v>245</v>
      </c>
      <c r="X49" s="30" t="s">
        <v>245</v>
      </c>
      <c r="Y49" s="30" t="s">
        <v>245</v>
      </c>
      <c r="Z49" s="30" t="s">
        <v>245</v>
      </c>
      <c r="AA49" s="30" t="s">
        <v>245</v>
      </c>
      <c r="AB49" s="30" t="s">
        <v>245</v>
      </c>
      <c r="AC49" s="30" t="s">
        <v>660</v>
      </c>
      <c r="AD49" s="30" t="s">
        <v>661</v>
      </c>
      <c r="AE49" s="30" t="s">
        <v>245</v>
      </c>
      <c r="AF49" s="30" t="s">
        <v>245</v>
      </c>
      <c r="AG49" s="30" t="s">
        <v>245</v>
      </c>
      <c r="AH49" s="30" t="s">
        <v>245</v>
      </c>
      <c r="AI49" s="30" t="s">
        <v>245</v>
      </c>
      <c r="AJ49" s="30" t="s">
        <v>245</v>
      </c>
      <c r="AK49" s="30" t="s">
        <v>245</v>
      </c>
      <c r="AL49" s="30" t="s">
        <v>245</v>
      </c>
      <c r="AM49" s="30" t="s">
        <v>245</v>
      </c>
      <c r="AN49" s="30" t="s">
        <v>245</v>
      </c>
      <c r="AO49" s="30" t="s">
        <v>245</v>
      </c>
      <c r="AP49" s="30" t="s">
        <v>245</v>
      </c>
      <c r="AQ49" s="30" t="s">
        <v>382</v>
      </c>
      <c r="AR49" s="30" t="s">
        <v>383</v>
      </c>
      <c r="AS49" s="30" t="s">
        <v>245</v>
      </c>
      <c r="AT49" s="30" t="s">
        <v>245</v>
      </c>
      <c r="AU49" s="30" t="s">
        <v>245</v>
      </c>
      <c r="AV49" s="30" t="s">
        <v>662</v>
      </c>
      <c r="AW49" s="30">
        <v>2017</v>
      </c>
      <c r="AX49" s="30">
        <v>233</v>
      </c>
      <c r="AY49" s="30" t="s">
        <v>245</v>
      </c>
      <c r="AZ49" s="30" t="s">
        <v>245</v>
      </c>
      <c r="BA49" s="30" t="s">
        <v>245</v>
      </c>
      <c r="BB49" s="30" t="s">
        <v>245</v>
      </c>
      <c r="BC49" s="30" t="s">
        <v>245</v>
      </c>
      <c r="BD49" s="30">
        <v>163</v>
      </c>
      <c r="BE49" s="30">
        <v>170</v>
      </c>
      <c r="BF49" s="30" t="s">
        <v>245</v>
      </c>
      <c r="BG49" s="30" t="s">
        <v>663</v>
      </c>
      <c r="BH49" s="30" t="str">
        <f>HYPERLINK("http://dx.doi.org/10.1016/j.agrformet.2016.11.017","http://dx.doi.org/10.1016/j.agrformet.2016.11.017")</f>
        <v>http://dx.doi.org/10.1016/j.agrformet.2016.11.017</v>
      </c>
      <c r="BI49" s="30" t="s">
        <v>245</v>
      </c>
      <c r="BJ49" s="30" t="s">
        <v>245</v>
      </c>
      <c r="BK49" s="30" t="s">
        <v>245</v>
      </c>
      <c r="BL49" s="30" t="s">
        <v>245</v>
      </c>
      <c r="BM49" s="30" t="s">
        <v>245</v>
      </c>
      <c r="BN49" s="30" t="s">
        <v>245</v>
      </c>
      <c r="BO49" s="30" t="s">
        <v>245</v>
      </c>
      <c r="BP49" s="30" t="s">
        <v>245</v>
      </c>
      <c r="BQ49" s="30" t="s">
        <v>245</v>
      </c>
      <c r="BR49" s="30" t="s">
        <v>245</v>
      </c>
      <c r="BS49" s="30" t="s">
        <v>245</v>
      </c>
      <c r="BT49" s="30" t="s">
        <v>245</v>
      </c>
      <c r="BU49" s="30" t="s">
        <v>664</v>
      </c>
      <c r="BV49" s="30" t="str">
        <f>HYPERLINK("https%3A%2F%2Fwww.webofscience.com%2Fwos%2Fwoscc%2Ffull-record%2FWOS:000393259400015","View Full Record in Web of Science")</f>
        <v>View Full Record in Web of Science</v>
      </c>
    </row>
    <row r="50" spans="1:74" x14ac:dyDescent="0.2">
      <c r="A50" s="30" t="s">
        <v>243</v>
      </c>
      <c r="B50" s="30" t="s">
        <v>665</v>
      </c>
      <c r="C50" s="30" t="s">
        <v>245</v>
      </c>
      <c r="D50" s="30" t="s">
        <v>245</v>
      </c>
      <c r="E50" s="30" t="s">
        <v>245</v>
      </c>
      <c r="F50" s="30" t="s">
        <v>666</v>
      </c>
      <c r="G50" s="30" t="s">
        <v>245</v>
      </c>
      <c r="H50" s="30" t="s">
        <v>245</v>
      </c>
      <c r="I50" s="30" t="s">
        <v>2821</v>
      </c>
      <c r="K50" s="30" t="s">
        <v>667</v>
      </c>
      <c r="L50" s="30" t="s">
        <v>668</v>
      </c>
      <c r="M50" s="30" t="s">
        <v>245</v>
      </c>
      <c r="N50" s="30" t="s">
        <v>245</v>
      </c>
      <c r="O50" s="30" t="s">
        <v>245</v>
      </c>
      <c r="P50" s="30" t="s">
        <v>245</v>
      </c>
      <c r="Q50" s="30" t="s">
        <v>245</v>
      </c>
      <c r="R50" s="30" t="s">
        <v>245</v>
      </c>
      <c r="S50" s="30" t="s">
        <v>245</v>
      </c>
      <c r="T50" s="30" t="s">
        <v>245</v>
      </c>
      <c r="U50" s="30" t="s">
        <v>245</v>
      </c>
      <c r="V50" s="30" t="s">
        <v>245</v>
      </c>
      <c r="W50" s="30" t="s">
        <v>245</v>
      </c>
      <c r="X50" s="30" t="s">
        <v>245</v>
      </c>
      <c r="Y50" s="30" t="s">
        <v>245</v>
      </c>
      <c r="Z50" s="30" t="s">
        <v>245</v>
      </c>
      <c r="AA50" s="30" t="s">
        <v>245</v>
      </c>
      <c r="AB50" s="30" t="s">
        <v>245</v>
      </c>
      <c r="AC50" s="30" t="s">
        <v>669</v>
      </c>
      <c r="AD50" s="30" t="s">
        <v>670</v>
      </c>
      <c r="AE50" s="30" t="s">
        <v>245</v>
      </c>
      <c r="AF50" s="30" t="s">
        <v>245</v>
      </c>
      <c r="AG50" s="30" t="s">
        <v>245</v>
      </c>
      <c r="AH50" s="30" t="s">
        <v>245</v>
      </c>
      <c r="AI50" s="30" t="s">
        <v>245</v>
      </c>
      <c r="AJ50" s="30" t="s">
        <v>245</v>
      </c>
      <c r="AK50" s="30" t="s">
        <v>245</v>
      </c>
      <c r="AL50" s="30" t="s">
        <v>245</v>
      </c>
      <c r="AM50" s="30" t="s">
        <v>245</v>
      </c>
      <c r="AN50" s="30" t="s">
        <v>245</v>
      </c>
      <c r="AO50" s="30" t="s">
        <v>245</v>
      </c>
      <c r="AP50" s="30" t="s">
        <v>245</v>
      </c>
      <c r="AQ50" s="30" t="s">
        <v>671</v>
      </c>
      <c r="AR50" s="30" t="s">
        <v>672</v>
      </c>
      <c r="AS50" s="30" t="s">
        <v>245</v>
      </c>
      <c r="AT50" s="30" t="s">
        <v>245</v>
      </c>
      <c r="AU50" s="30" t="s">
        <v>245</v>
      </c>
      <c r="AV50" s="30" t="s">
        <v>454</v>
      </c>
      <c r="AW50" s="30">
        <v>2010</v>
      </c>
      <c r="AX50" s="30">
        <v>8</v>
      </c>
      <c r="AY50" s="30">
        <v>3</v>
      </c>
      <c r="AZ50" s="30" t="s">
        <v>245</v>
      </c>
      <c r="BA50" s="30" t="s">
        <v>245</v>
      </c>
      <c r="BB50" s="30" t="s">
        <v>245</v>
      </c>
      <c r="BC50" s="30" t="s">
        <v>245</v>
      </c>
      <c r="BD50" s="30">
        <v>237</v>
      </c>
      <c r="BE50" s="30">
        <v>246</v>
      </c>
      <c r="BF50" s="30" t="s">
        <v>245</v>
      </c>
      <c r="BG50" s="30" t="s">
        <v>673</v>
      </c>
      <c r="BH50" s="30" t="str">
        <f>HYPERLINK("http://dx.doi.org/10.1007/s10311-009-0212-3","http://dx.doi.org/10.1007/s10311-009-0212-3")</f>
        <v>http://dx.doi.org/10.1007/s10311-009-0212-3</v>
      </c>
      <c r="BI50" s="30" t="s">
        <v>245</v>
      </c>
      <c r="BJ50" s="30" t="s">
        <v>245</v>
      </c>
      <c r="BK50" s="30" t="s">
        <v>245</v>
      </c>
      <c r="BL50" s="30" t="s">
        <v>245</v>
      </c>
      <c r="BM50" s="30" t="s">
        <v>245</v>
      </c>
      <c r="BN50" s="30" t="s">
        <v>245</v>
      </c>
      <c r="BO50" s="30" t="s">
        <v>245</v>
      </c>
      <c r="BP50" s="30" t="s">
        <v>245</v>
      </c>
      <c r="BQ50" s="30" t="s">
        <v>245</v>
      </c>
      <c r="BR50" s="30" t="s">
        <v>245</v>
      </c>
      <c r="BS50" s="30" t="s">
        <v>245</v>
      </c>
      <c r="BT50" s="30" t="s">
        <v>245</v>
      </c>
      <c r="BU50" s="30" t="s">
        <v>674</v>
      </c>
      <c r="BV50" s="30" t="str">
        <f>HYPERLINK("https%3A%2F%2Fwww.webofscience.com%2Fwos%2Fwoscc%2Ffull-record%2FWOS:000281597500005","View Full Record in Web of Science")</f>
        <v>View Full Record in Web of Science</v>
      </c>
    </row>
    <row r="51" spans="1:74" x14ac:dyDescent="0.2">
      <c r="A51" s="30" t="s">
        <v>243</v>
      </c>
      <c r="B51" s="30" t="s">
        <v>675</v>
      </c>
      <c r="C51" s="30" t="s">
        <v>245</v>
      </c>
      <c r="D51" s="30" t="s">
        <v>245</v>
      </c>
      <c r="E51" s="30" t="s">
        <v>245</v>
      </c>
      <c r="F51" s="30" t="s">
        <v>676</v>
      </c>
      <c r="G51" s="30" t="s">
        <v>245</v>
      </c>
      <c r="H51" s="30" t="s">
        <v>245</v>
      </c>
      <c r="I51" s="30" t="s">
        <v>2819</v>
      </c>
      <c r="K51" s="30" t="s">
        <v>677</v>
      </c>
      <c r="L51" s="30" t="s">
        <v>678</v>
      </c>
      <c r="M51" s="30" t="s">
        <v>245</v>
      </c>
      <c r="N51" s="30" t="s">
        <v>245</v>
      </c>
      <c r="O51" s="30" t="s">
        <v>245</v>
      </c>
      <c r="P51" s="30" t="s">
        <v>245</v>
      </c>
      <c r="Q51" s="30" t="s">
        <v>679</v>
      </c>
      <c r="R51" s="30" t="s">
        <v>680</v>
      </c>
      <c r="S51" s="30" t="s">
        <v>681</v>
      </c>
      <c r="T51" s="30" t="s">
        <v>245</v>
      </c>
      <c r="U51" s="30" t="s">
        <v>245</v>
      </c>
      <c r="V51" s="30" t="s">
        <v>245</v>
      </c>
      <c r="W51" s="30" t="s">
        <v>245</v>
      </c>
      <c r="X51" s="30" t="s">
        <v>245</v>
      </c>
      <c r="Y51" s="30" t="s">
        <v>245</v>
      </c>
      <c r="Z51" s="30" t="s">
        <v>245</v>
      </c>
      <c r="AA51" s="30" t="s">
        <v>245</v>
      </c>
      <c r="AB51" s="30" t="s">
        <v>245</v>
      </c>
      <c r="AC51" s="30" t="s">
        <v>682</v>
      </c>
      <c r="AD51" s="30" t="s">
        <v>683</v>
      </c>
      <c r="AE51" s="30" t="s">
        <v>245</v>
      </c>
      <c r="AF51" s="30" t="s">
        <v>245</v>
      </c>
      <c r="AG51" s="30" t="s">
        <v>245</v>
      </c>
      <c r="AH51" s="30" t="s">
        <v>245</v>
      </c>
      <c r="AI51" s="30" t="s">
        <v>245</v>
      </c>
      <c r="AJ51" s="30" t="s">
        <v>245</v>
      </c>
      <c r="AK51" s="30" t="s">
        <v>245</v>
      </c>
      <c r="AL51" s="30" t="s">
        <v>245</v>
      </c>
      <c r="AM51" s="30" t="s">
        <v>245</v>
      </c>
      <c r="AN51" s="30" t="s">
        <v>245</v>
      </c>
      <c r="AO51" s="30" t="s">
        <v>245</v>
      </c>
      <c r="AP51" s="30" t="s">
        <v>245</v>
      </c>
      <c r="AQ51" s="30" t="s">
        <v>684</v>
      </c>
      <c r="AR51" s="30" t="s">
        <v>685</v>
      </c>
      <c r="AS51" s="30" t="s">
        <v>245</v>
      </c>
      <c r="AT51" s="30" t="s">
        <v>245</v>
      </c>
      <c r="AU51" s="30" t="s">
        <v>245</v>
      </c>
      <c r="AV51" s="30" t="s">
        <v>535</v>
      </c>
      <c r="AW51" s="30">
        <v>2009</v>
      </c>
      <c r="AX51" s="30">
        <v>23</v>
      </c>
      <c r="AY51" s="30">
        <v>16</v>
      </c>
      <c r="AZ51" s="30" t="s">
        <v>245</v>
      </c>
      <c r="BA51" s="30" t="s">
        <v>245</v>
      </c>
      <c r="BB51" s="30" t="s">
        <v>245</v>
      </c>
      <c r="BC51" s="30" t="s">
        <v>245</v>
      </c>
      <c r="BD51" s="30">
        <v>2489</v>
      </c>
      <c r="BE51" s="30">
        <v>2498</v>
      </c>
      <c r="BF51" s="30" t="s">
        <v>245</v>
      </c>
      <c r="BG51" s="30" t="s">
        <v>686</v>
      </c>
      <c r="BH51" s="30" t="str">
        <f>HYPERLINK("http://dx.doi.org/10.1002/rcm.4067","http://dx.doi.org/10.1002/rcm.4067")</f>
        <v>http://dx.doi.org/10.1002/rcm.4067</v>
      </c>
      <c r="BI51" s="30" t="s">
        <v>245</v>
      </c>
      <c r="BJ51" s="30" t="s">
        <v>245</v>
      </c>
      <c r="BK51" s="30" t="s">
        <v>245</v>
      </c>
      <c r="BL51" s="30" t="s">
        <v>245</v>
      </c>
      <c r="BM51" s="30" t="s">
        <v>245</v>
      </c>
      <c r="BN51" s="30" t="s">
        <v>245</v>
      </c>
      <c r="BO51" s="30" t="s">
        <v>245</v>
      </c>
      <c r="BP51" s="30">
        <v>19603466</v>
      </c>
      <c r="BQ51" s="30" t="s">
        <v>245</v>
      </c>
      <c r="BR51" s="30" t="s">
        <v>245</v>
      </c>
      <c r="BS51" s="30" t="s">
        <v>245</v>
      </c>
      <c r="BT51" s="30" t="s">
        <v>245</v>
      </c>
      <c r="BU51" s="30" t="s">
        <v>687</v>
      </c>
      <c r="BV51" s="30" t="str">
        <f>HYPERLINK("https%3A%2F%2Fwww.webofscience.com%2Fwos%2Fwoscc%2Ffull-record%2FWOS:000268724600014","View Full Record in Web of Science")</f>
        <v>View Full Record in Web of Science</v>
      </c>
    </row>
    <row r="52" spans="1:74" x14ac:dyDescent="0.2">
      <c r="A52" s="30" t="s">
        <v>243</v>
      </c>
      <c r="B52" s="30" t="s">
        <v>688</v>
      </c>
      <c r="C52" s="30" t="s">
        <v>245</v>
      </c>
      <c r="D52" s="30" t="s">
        <v>245</v>
      </c>
      <c r="E52" s="30" t="s">
        <v>245</v>
      </c>
      <c r="F52" s="30" t="s">
        <v>689</v>
      </c>
      <c r="G52" s="30" t="s">
        <v>245</v>
      </c>
      <c r="H52" s="30" t="s">
        <v>245</v>
      </c>
      <c r="I52" s="30" t="s">
        <v>2823</v>
      </c>
      <c r="K52" s="30" t="s">
        <v>690</v>
      </c>
      <c r="L52" s="30" t="s">
        <v>691</v>
      </c>
      <c r="M52" s="30" t="s">
        <v>245</v>
      </c>
      <c r="N52" s="30" t="s">
        <v>245</v>
      </c>
      <c r="O52" s="30" t="s">
        <v>245</v>
      </c>
      <c r="P52" s="30" t="s">
        <v>245</v>
      </c>
      <c r="Q52" s="30" t="s">
        <v>245</v>
      </c>
      <c r="R52" s="30" t="s">
        <v>245</v>
      </c>
      <c r="S52" s="30" t="s">
        <v>245</v>
      </c>
      <c r="T52" s="30" t="s">
        <v>245</v>
      </c>
      <c r="U52" s="30" t="s">
        <v>245</v>
      </c>
      <c r="V52" s="30" t="s">
        <v>245</v>
      </c>
      <c r="W52" s="30" t="s">
        <v>245</v>
      </c>
      <c r="X52" s="30" t="s">
        <v>245</v>
      </c>
      <c r="Y52" s="30" t="s">
        <v>245</v>
      </c>
      <c r="Z52" s="30" t="s">
        <v>245</v>
      </c>
      <c r="AA52" s="30" t="s">
        <v>245</v>
      </c>
      <c r="AB52" s="30" t="s">
        <v>245</v>
      </c>
      <c r="AC52" s="30" t="s">
        <v>245</v>
      </c>
      <c r="AD52" s="30" t="s">
        <v>245</v>
      </c>
      <c r="AE52" s="30" t="s">
        <v>245</v>
      </c>
      <c r="AF52" s="30" t="s">
        <v>245</v>
      </c>
      <c r="AG52" s="30" t="s">
        <v>245</v>
      </c>
      <c r="AH52" s="30" t="s">
        <v>245</v>
      </c>
      <c r="AI52" s="30" t="s">
        <v>245</v>
      </c>
      <c r="AJ52" s="30" t="s">
        <v>245</v>
      </c>
      <c r="AK52" s="30" t="s">
        <v>245</v>
      </c>
      <c r="AL52" s="30" t="s">
        <v>245</v>
      </c>
      <c r="AM52" s="30" t="s">
        <v>245</v>
      </c>
      <c r="AN52" s="30" t="s">
        <v>245</v>
      </c>
      <c r="AO52" s="30" t="s">
        <v>245</v>
      </c>
      <c r="AP52" s="30" t="s">
        <v>245</v>
      </c>
      <c r="AQ52" s="30" t="s">
        <v>692</v>
      </c>
      <c r="AR52" s="30" t="s">
        <v>245</v>
      </c>
      <c r="AS52" s="30" t="s">
        <v>245</v>
      </c>
      <c r="AT52" s="30" t="s">
        <v>245</v>
      </c>
      <c r="AU52" s="30" t="s">
        <v>245</v>
      </c>
      <c r="AV52" s="30" t="s">
        <v>693</v>
      </c>
      <c r="AW52" s="30">
        <v>2017</v>
      </c>
      <c r="AX52" s="30">
        <v>112</v>
      </c>
      <c r="AY52" s="30">
        <v>5</v>
      </c>
      <c r="AZ52" s="30" t="s">
        <v>245</v>
      </c>
      <c r="BA52" s="30" t="s">
        <v>245</v>
      </c>
      <c r="BB52" s="30" t="s">
        <v>245</v>
      </c>
      <c r="BC52" s="30" t="s">
        <v>245</v>
      </c>
      <c r="BD52" s="30">
        <v>989</v>
      </c>
      <c r="BE52" s="30">
        <v>995</v>
      </c>
      <c r="BF52" s="30" t="s">
        <v>245</v>
      </c>
      <c r="BG52" s="30" t="s">
        <v>694</v>
      </c>
      <c r="BH52" s="30" t="str">
        <f>HYPERLINK("http://dx.doi.org/10.18520/cs/v112/i05/989-995","http://dx.doi.org/10.18520/cs/v112/i05/989-995")</f>
        <v>http://dx.doi.org/10.18520/cs/v112/i05/989-995</v>
      </c>
      <c r="BI52" s="30" t="s">
        <v>245</v>
      </c>
      <c r="BJ52" s="30" t="s">
        <v>245</v>
      </c>
      <c r="BK52" s="30" t="s">
        <v>245</v>
      </c>
      <c r="BL52" s="30" t="s">
        <v>245</v>
      </c>
      <c r="BM52" s="30" t="s">
        <v>245</v>
      </c>
      <c r="BN52" s="30" t="s">
        <v>245</v>
      </c>
      <c r="BO52" s="30" t="s">
        <v>245</v>
      </c>
      <c r="BP52" s="30" t="s">
        <v>245</v>
      </c>
      <c r="BQ52" s="30" t="s">
        <v>245</v>
      </c>
      <c r="BR52" s="30" t="s">
        <v>245</v>
      </c>
      <c r="BS52" s="30" t="s">
        <v>245</v>
      </c>
      <c r="BT52" s="30" t="s">
        <v>245</v>
      </c>
      <c r="BU52" s="30" t="s">
        <v>695</v>
      </c>
      <c r="BV52" s="30" t="str">
        <f>HYPERLINK("https%3A%2F%2Fwww.webofscience.com%2Fwos%2Fwoscc%2Ffull-record%2FWOS:000398131300020","View Full Record in Web of Science")</f>
        <v>View Full Record in Web of Science</v>
      </c>
    </row>
    <row r="53" spans="1:74" x14ac:dyDescent="0.2">
      <c r="A53" s="30" t="s">
        <v>243</v>
      </c>
      <c r="B53" s="30" t="s">
        <v>696</v>
      </c>
      <c r="C53" s="30" t="s">
        <v>245</v>
      </c>
      <c r="D53" s="30" t="s">
        <v>245</v>
      </c>
      <c r="E53" s="30" t="s">
        <v>245</v>
      </c>
      <c r="F53" s="30" t="s">
        <v>696</v>
      </c>
      <c r="G53" s="30" t="s">
        <v>245</v>
      </c>
      <c r="H53" s="30" t="s">
        <v>245</v>
      </c>
      <c r="I53" s="30" t="s">
        <v>2822</v>
      </c>
      <c r="K53" s="30" t="s">
        <v>697</v>
      </c>
      <c r="L53" s="30" t="s">
        <v>698</v>
      </c>
      <c r="M53" s="30" t="s">
        <v>245</v>
      </c>
      <c r="N53" s="30" t="s">
        <v>245</v>
      </c>
      <c r="O53" s="30" t="s">
        <v>245</v>
      </c>
      <c r="P53" s="30" t="s">
        <v>245</v>
      </c>
      <c r="Q53" s="30" t="s">
        <v>245</v>
      </c>
      <c r="R53" s="30" t="s">
        <v>245</v>
      </c>
      <c r="S53" s="30" t="s">
        <v>245</v>
      </c>
      <c r="T53" s="30" t="s">
        <v>245</v>
      </c>
      <c r="U53" s="30" t="s">
        <v>245</v>
      </c>
      <c r="V53" s="30" t="s">
        <v>245</v>
      </c>
      <c r="W53" s="30" t="s">
        <v>245</v>
      </c>
      <c r="X53" s="30" t="s">
        <v>245</v>
      </c>
      <c r="Y53" s="30" t="s">
        <v>245</v>
      </c>
      <c r="Z53" s="30" t="s">
        <v>245</v>
      </c>
      <c r="AA53" s="30" t="s">
        <v>245</v>
      </c>
      <c r="AB53" s="30" t="s">
        <v>245</v>
      </c>
      <c r="AC53" s="30" t="s">
        <v>245</v>
      </c>
      <c r="AD53" s="30" t="s">
        <v>245</v>
      </c>
      <c r="AE53" s="30" t="s">
        <v>245</v>
      </c>
      <c r="AF53" s="30" t="s">
        <v>245</v>
      </c>
      <c r="AG53" s="30" t="s">
        <v>245</v>
      </c>
      <c r="AH53" s="30" t="s">
        <v>245</v>
      </c>
      <c r="AI53" s="30" t="s">
        <v>245</v>
      </c>
      <c r="AJ53" s="30" t="s">
        <v>245</v>
      </c>
      <c r="AK53" s="30" t="s">
        <v>245</v>
      </c>
      <c r="AL53" s="30" t="s">
        <v>245</v>
      </c>
      <c r="AM53" s="30" t="s">
        <v>245</v>
      </c>
      <c r="AN53" s="30" t="s">
        <v>245</v>
      </c>
      <c r="AO53" s="30" t="s">
        <v>245</v>
      </c>
      <c r="AP53" s="30" t="s">
        <v>245</v>
      </c>
      <c r="AQ53" s="30" t="s">
        <v>699</v>
      </c>
      <c r="AR53" s="30" t="s">
        <v>245</v>
      </c>
      <c r="AS53" s="30" t="s">
        <v>245</v>
      </c>
      <c r="AT53" s="30" t="s">
        <v>245</v>
      </c>
      <c r="AU53" s="30" t="s">
        <v>245</v>
      </c>
      <c r="AV53" s="30" t="s">
        <v>245</v>
      </c>
      <c r="AW53" s="30">
        <v>1994</v>
      </c>
      <c r="AX53" s="30">
        <v>39</v>
      </c>
      <c r="AY53" s="30">
        <v>2</v>
      </c>
      <c r="AZ53" s="30" t="s">
        <v>245</v>
      </c>
      <c r="BA53" s="30" t="s">
        <v>245</v>
      </c>
      <c r="BB53" s="30" t="s">
        <v>245</v>
      </c>
      <c r="BC53" s="30" t="s">
        <v>245</v>
      </c>
      <c r="BD53" s="30">
        <v>147</v>
      </c>
      <c r="BE53" s="30">
        <v>152</v>
      </c>
      <c r="BF53" s="30" t="s">
        <v>245</v>
      </c>
      <c r="BG53" s="30" t="s">
        <v>700</v>
      </c>
      <c r="BH53" s="30" t="str">
        <f>HYPERLINK("http://dx.doi.org/10.1007/BF00750913","http://dx.doi.org/10.1007/BF00750913")</f>
        <v>http://dx.doi.org/10.1007/BF00750913</v>
      </c>
      <c r="BI53" s="30" t="s">
        <v>245</v>
      </c>
      <c r="BJ53" s="30" t="s">
        <v>245</v>
      </c>
      <c r="BK53" s="30" t="s">
        <v>245</v>
      </c>
      <c r="BL53" s="30" t="s">
        <v>245</v>
      </c>
      <c r="BM53" s="30" t="s">
        <v>245</v>
      </c>
      <c r="BN53" s="30" t="s">
        <v>245</v>
      </c>
      <c r="BO53" s="30" t="s">
        <v>245</v>
      </c>
      <c r="BP53" s="30" t="s">
        <v>245</v>
      </c>
      <c r="BQ53" s="30" t="s">
        <v>245</v>
      </c>
      <c r="BR53" s="30" t="s">
        <v>245</v>
      </c>
      <c r="BS53" s="30" t="s">
        <v>245</v>
      </c>
      <c r="BT53" s="30" t="s">
        <v>245</v>
      </c>
      <c r="BU53" s="30" t="s">
        <v>701</v>
      </c>
      <c r="BV53" s="30" t="str">
        <f>HYPERLINK("https%3A%2F%2Fwww.webofscience.com%2Fwos%2Fwoscc%2Ffull-record%2FWOS:A1994QB65400008","View Full Record in Web of Science")</f>
        <v>View Full Record in Web of Science</v>
      </c>
    </row>
    <row r="54" spans="1:74" x14ac:dyDescent="0.2">
      <c r="A54" s="30" t="s">
        <v>243</v>
      </c>
      <c r="B54" s="30" t="s">
        <v>702</v>
      </c>
      <c r="C54" s="30" t="s">
        <v>245</v>
      </c>
      <c r="D54" s="30" t="s">
        <v>245</v>
      </c>
      <c r="E54" s="30" t="s">
        <v>245</v>
      </c>
      <c r="F54" s="30" t="s">
        <v>703</v>
      </c>
      <c r="G54" s="30" t="s">
        <v>245</v>
      </c>
      <c r="H54" s="30" t="s">
        <v>245</v>
      </c>
      <c r="J54" s="30" t="s">
        <v>2825</v>
      </c>
      <c r="K54" s="30" t="s">
        <v>704</v>
      </c>
      <c r="L54" s="30" t="s">
        <v>282</v>
      </c>
      <c r="M54" s="30" t="s">
        <v>245</v>
      </c>
      <c r="N54" s="30" t="s">
        <v>245</v>
      </c>
      <c r="O54" s="30" t="s">
        <v>245</v>
      </c>
      <c r="P54" s="30" t="s">
        <v>245</v>
      </c>
      <c r="Q54" s="30" t="s">
        <v>245</v>
      </c>
      <c r="R54" s="30" t="s">
        <v>245</v>
      </c>
      <c r="S54" s="30" t="s">
        <v>245</v>
      </c>
      <c r="T54" s="30" t="s">
        <v>245</v>
      </c>
      <c r="U54" s="30" t="s">
        <v>245</v>
      </c>
      <c r="V54" s="30" t="s">
        <v>245</v>
      </c>
      <c r="W54" s="30" t="s">
        <v>245</v>
      </c>
      <c r="X54" s="30" t="s">
        <v>245</v>
      </c>
      <c r="Y54" s="30" t="s">
        <v>245</v>
      </c>
      <c r="Z54" s="30" t="s">
        <v>245</v>
      </c>
      <c r="AA54" s="30" t="s">
        <v>245</v>
      </c>
      <c r="AB54" s="30" t="s">
        <v>245</v>
      </c>
      <c r="AC54" s="30" t="s">
        <v>705</v>
      </c>
      <c r="AD54" s="30" t="s">
        <v>706</v>
      </c>
      <c r="AE54" s="30" t="s">
        <v>245</v>
      </c>
      <c r="AF54" s="30" t="s">
        <v>245</v>
      </c>
      <c r="AG54" s="30" t="s">
        <v>245</v>
      </c>
      <c r="AH54" s="30" t="s">
        <v>245</v>
      </c>
      <c r="AI54" s="30" t="s">
        <v>245</v>
      </c>
      <c r="AJ54" s="30" t="s">
        <v>245</v>
      </c>
      <c r="AK54" s="30" t="s">
        <v>245</v>
      </c>
      <c r="AL54" s="30" t="s">
        <v>245</v>
      </c>
      <c r="AM54" s="30" t="s">
        <v>245</v>
      </c>
      <c r="AN54" s="30" t="s">
        <v>245</v>
      </c>
      <c r="AO54" s="30" t="s">
        <v>245</v>
      </c>
      <c r="AP54" s="30" t="s">
        <v>245</v>
      </c>
      <c r="AQ54" s="30" t="s">
        <v>285</v>
      </c>
      <c r="AR54" s="30" t="s">
        <v>370</v>
      </c>
      <c r="AS54" s="30" t="s">
        <v>245</v>
      </c>
      <c r="AT54" s="30" t="s">
        <v>245</v>
      </c>
      <c r="AU54" s="30" t="s">
        <v>245</v>
      </c>
      <c r="AV54" s="30" t="s">
        <v>297</v>
      </c>
      <c r="AW54" s="30">
        <v>2012</v>
      </c>
      <c r="AX54" s="30">
        <v>53</v>
      </c>
      <c r="AY54" s="30" t="s">
        <v>245</v>
      </c>
      <c r="AZ54" s="30" t="s">
        <v>245</v>
      </c>
      <c r="BA54" s="30" t="s">
        <v>245</v>
      </c>
      <c r="BB54" s="30" t="s">
        <v>245</v>
      </c>
      <c r="BC54" s="30" t="s">
        <v>245</v>
      </c>
      <c r="BD54" s="30">
        <v>82</v>
      </c>
      <c r="BE54" s="30">
        <v>89</v>
      </c>
      <c r="BF54" s="30" t="s">
        <v>245</v>
      </c>
      <c r="BG54" s="30" t="s">
        <v>707</v>
      </c>
      <c r="BH54" s="30" t="str">
        <f>HYPERLINK("http://dx.doi.org/10.1016/j.soilbio.2012.04.026","http://dx.doi.org/10.1016/j.soilbio.2012.04.026")</f>
        <v>http://dx.doi.org/10.1016/j.soilbio.2012.04.026</v>
      </c>
      <c r="BI54" s="30" t="s">
        <v>245</v>
      </c>
      <c r="BJ54" s="30" t="s">
        <v>245</v>
      </c>
      <c r="BK54" s="30" t="s">
        <v>245</v>
      </c>
      <c r="BL54" s="30" t="s">
        <v>245</v>
      </c>
      <c r="BM54" s="30" t="s">
        <v>245</v>
      </c>
      <c r="BN54" s="30" t="s">
        <v>245</v>
      </c>
      <c r="BO54" s="30" t="s">
        <v>245</v>
      </c>
      <c r="BP54" s="30" t="s">
        <v>245</v>
      </c>
      <c r="BQ54" s="30" t="s">
        <v>245</v>
      </c>
      <c r="BR54" s="30" t="s">
        <v>245</v>
      </c>
      <c r="BS54" s="30" t="s">
        <v>245</v>
      </c>
      <c r="BT54" s="30" t="s">
        <v>245</v>
      </c>
      <c r="BU54" s="30" t="s">
        <v>708</v>
      </c>
      <c r="BV54" s="30" t="str">
        <f>HYPERLINK("https%3A%2F%2Fwww.webofscience.com%2Fwos%2Fwoscc%2Ffull-record%2FWOS:000307141400012","View Full Record in Web of Science")</f>
        <v>View Full Record in Web of Science</v>
      </c>
    </row>
    <row r="55" spans="1:74" x14ac:dyDescent="0.2">
      <c r="A55" s="30" t="s">
        <v>243</v>
      </c>
      <c r="B55" s="30" t="s">
        <v>709</v>
      </c>
      <c r="C55" s="30" t="s">
        <v>245</v>
      </c>
      <c r="D55" s="30" t="s">
        <v>245</v>
      </c>
      <c r="E55" s="30" t="s">
        <v>245</v>
      </c>
      <c r="F55" s="30" t="s">
        <v>710</v>
      </c>
      <c r="G55" s="30" t="s">
        <v>245</v>
      </c>
      <c r="H55" s="30" t="s">
        <v>245</v>
      </c>
      <c r="I55" s="30" t="s">
        <v>2829</v>
      </c>
      <c r="K55" s="30" t="s">
        <v>711</v>
      </c>
      <c r="L55" s="30" t="s">
        <v>712</v>
      </c>
      <c r="M55" s="30" t="s">
        <v>245</v>
      </c>
      <c r="N55" s="30" t="s">
        <v>245</v>
      </c>
      <c r="O55" s="30" t="s">
        <v>245</v>
      </c>
      <c r="P55" s="30" t="s">
        <v>245</v>
      </c>
      <c r="Q55" s="30" t="s">
        <v>245</v>
      </c>
      <c r="R55" s="30" t="s">
        <v>245</v>
      </c>
      <c r="S55" s="30" t="s">
        <v>245</v>
      </c>
      <c r="T55" s="30" t="s">
        <v>245</v>
      </c>
      <c r="U55" s="30" t="s">
        <v>245</v>
      </c>
      <c r="V55" s="30" t="s">
        <v>245</v>
      </c>
      <c r="W55" s="30" t="s">
        <v>245</v>
      </c>
      <c r="X55" s="30" t="s">
        <v>245</v>
      </c>
      <c r="Y55" s="30" t="s">
        <v>245</v>
      </c>
      <c r="Z55" s="30" t="s">
        <v>245</v>
      </c>
      <c r="AA55" s="30" t="s">
        <v>245</v>
      </c>
      <c r="AB55" s="30" t="s">
        <v>245</v>
      </c>
      <c r="AC55" s="30" t="s">
        <v>713</v>
      </c>
      <c r="AD55" s="30" t="s">
        <v>714</v>
      </c>
      <c r="AE55" s="30" t="s">
        <v>245</v>
      </c>
      <c r="AF55" s="30" t="s">
        <v>245</v>
      </c>
      <c r="AG55" s="30" t="s">
        <v>245</v>
      </c>
      <c r="AH55" s="30" t="s">
        <v>245</v>
      </c>
      <c r="AI55" s="30" t="s">
        <v>245</v>
      </c>
      <c r="AJ55" s="30" t="s">
        <v>245</v>
      </c>
      <c r="AK55" s="30" t="s">
        <v>245</v>
      </c>
      <c r="AL55" s="30" t="s">
        <v>245</v>
      </c>
      <c r="AM55" s="30" t="s">
        <v>245</v>
      </c>
      <c r="AN55" s="30" t="s">
        <v>245</v>
      </c>
      <c r="AO55" s="30" t="s">
        <v>245</v>
      </c>
      <c r="AP55" s="30" t="s">
        <v>245</v>
      </c>
      <c r="AQ55" s="30" t="s">
        <v>715</v>
      </c>
      <c r="AR55" s="30" t="s">
        <v>245</v>
      </c>
      <c r="AS55" s="30" t="s">
        <v>245</v>
      </c>
      <c r="AT55" s="30" t="s">
        <v>245</v>
      </c>
      <c r="AU55" s="30" t="s">
        <v>245</v>
      </c>
      <c r="AV55" s="30" t="s">
        <v>454</v>
      </c>
      <c r="AW55" s="30">
        <v>2024</v>
      </c>
      <c r="AX55" s="30">
        <v>38</v>
      </c>
      <c r="AY55" s="30" t="s">
        <v>245</v>
      </c>
      <c r="AZ55" s="30" t="s">
        <v>245</v>
      </c>
      <c r="BA55" s="30" t="s">
        <v>245</v>
      </c>
      <c r="BB55" s="30" t="s">
        <v>245</v>
      </c>
      <c r="BC55" s="30" t="s">
        <v>245</v>
      </c>
      <c r="BD55" s="30" t="s">
        <v>245</v>
      </c>
      <c r="BE55" s="30" t="s">
        <v>245</v>
      </c>
      <c r="BF55" s="30" t="s">
        <v>716</v>
      </c>
      <c r="BG55" s="30" t="s">
        <v>717</v>
      </c>
      <c r="BH55" s="30" t="str">
        <f>HYPERLINK("http://dx.doi.org/10.1016/j.geodrs.2024.e00831","http://dx.doi.org/10.1016/j.geodrs.2024.e00831")</f>
        <v>http://dx.doi.org/10.1016/j.geodrs.2024.e00831</v>
      </c>
      <c r="BI55" s="30" t="s">
        <v>245</v>
      </c>
      <c r="BJ55" s="30" t="s">
        <v>718</v>
      </c>
      <c r="BK55" s="30" t="s">
        <v>245</v>
      </c>
      <c r="BL55" s="30" t="s">
        <v>245</v>
      </c>
      <c r="BM55" s="30" t="s">
        <v>245</v>
      </c>
      <c r="BN55" s="30" t="s">
        <v>245</v>
      </c>
      <c r="BO55" s="30" t="s">
        <v>245</v>
      </c>
      <c r="BP55" s="30" t="s">
        <v>245</v>
      </c>
      <c r="BQ55" s="30" t="s">
        <v>245</v>
      </c>
      <c r="BR55" s="30" t="s">
        <v>245</v>
      </c>
      <c r="BS55" s="30" t="s">
        <v>245</v>
      </c>
      <c r="BT55" s="30" t="s">
        <v>245</v>
      </c>
      <c r="BU55" s="30" t="s">
        <v>719</v>
      </c>
      <c r="BV55" s="30" t="str">
        <f>HYPERLINK("https%3A%2F%2Fwww.webofscience.com%2Fwos%2Fwoscc%2Ffull-record%2FWOS:001267217900001","View Full Record in Web of Science")</f>
        <v>View Full Record in Web of Science</v>
      </c>
    </row>
    <row r="56" spans="1:74" x14ac:dyDescent="0.2">
      <c r="A56" s="30" t="s">
        <v>243</v>
      </c>
      <c r="B56" s="30" t="s">
        <v>720</v>
      </c>
      <c r="C56" s="30" t="s">
        <v>245</v>
      </c>
      <c r="D56" s="30" t="s">
        <v>245</v>
      </c>
      <c r="E56" s="30" t="s">
        <v>245</v>
      </c>
      <c r="F56" s="30" t="s">
        <v>720</v>
      </c>
      <c r="G56" s="30" t="s">
        <v>245</v>
      </c>
      <c r="H56" s="30" t="s">
        <v>245</v>
      </c>
      <c r="I56" s="30" t="s">
        <v>2823</v>
      </c>
      <c r="K56" s="30" t="s">
        <v>721</v>
      </c>
      <c r="L56" s="30" t="s">
        <v>722</v>
      </c>
      <c r="M56" s="30" t="s">
        <v>245</v>
      </c>
      <c r="N56" s="30" t="s">
        <v>245</v>
      </c>
      <c r="O56" s="30" t="s">
        <v>245</v>
      </c>
      <c r="P56" s="30" t="s">
        <v>245</v>
      </c>
      <c r="Q56" s="30" t="s">
        <v>245</v>
      </c>
      <c r="R56" s="30" t="s">
        <v>245</v>
      </c>
      <c r="S56" s="30" t="s">
        <v>245</v>
      </c>
      <c r="T56" s="30" t="s">
        <v>245</v>
      </c>
      <c r="U56" s="30" t="s">
        <v>245</v>
      </c>
      <c r="V56" s="30" t="s">
        <v>245</v>
      </c>
      <c r="W56" s="30" t="s">
        <v>245</v>
      </c>
      <c r="X56" s="30" t="s">
        <v>245</v>
      </c>
      <c r="Y56" s="30" t="s">
        <v>245</v>
      </c>
      <c r="Z56" s="30" t="s">
        <v>245</v>
      </c>
      <c r="AA56" s="30" t="s">
        <v>245</v>
      </c>
      <c r="AB56" s="30" t="s">
        <v>245</v>
      </c>
      <c r="AC56" s="30" t="s">
        <v>723</v>
      </c>
      <c r="AD56" s="30" t="s">
        <v>245</v>
      </c>
      <c r="AE56" s="30" t="s">
        <v>245</v>
      </c>
      <c r="AF56" s="30" t="s">
        <v>245</v>
      </c>
      <c r="AG56" s="30" t="s">
        <v>245</v>
      </c>
      <c r="AH56" s="30" t="s">
        <v>245</v>
      </c>
      <c r="AI56" s="30" t="s">
        <v>245</v>
      </c>
      <c r="AJ56" s="30" t="s">
        <v>245</v>
      </c>
      <c r="AK56" s="30" t="s">
        <v>245</v>
      </c>
      <c r="AL56" s="30" t="s">
        <v>245</v>
      </c>
      <c r="AM56" s="30" t="s">
        <v>245</v>
      </c>
      <c r="AN56" s="30" t="s">
        <v>245</v>
      </c>
      <c r="AO56" s="30" t="s">
        <v>245</v>
      </c>
      <c r="AP56" s="30" t="s">
        <v>245</v>
      </c>
      <c r="AQ56" s="30" t="s">
        <v>724</v>
      </c>
      <c r="AR56" s="30" t="s">
        <v>725</v>
      </c>
      <c r="AS56" s="30" t="s">
        <v>245</v>
      </c>
      <c r="AT56" s="30" t="s">
        <v>245</v>
      </c>
      <c r="AU56" s="30" t="s">
        <v>245</v>
      </c>
      <c r="AV56" s="30" t="s">
        <v>245</v>
      </c>
      <c r="AW56" s="30">
        <v>1981</v>
      </c>
      <c r="AX56" s="30">
        <v>32</v>
      </c>
      <c r="AY56" s="30">
        <v>1</v>
      </c>
      <c r="AZ56" s="30" t="s">
        <v>245</v>
      </c>
      <c r="BA56" s="30" t="s">
        <v>245</v>
      </c>
      <c r="BB56" s="30" t="s">
        <v>245</v>
      </c>
      <c r="BC56" s="30" t="s">
        <v>245</v>
      </c>
      <c r="BD56" s="30">
        <v>37</v>
      </c>
      <c r="BE56" s="30">
        <v>45</v>
      </c>
      <c r="BF56" s="30" t="s">
        <v>245</v>
      </c>
      <c r="BG56" s="30" t="s">
        <v>726</v>
      </c>
      <c r="BH56" s="30" t="str">
        <f>HYPERLINK("http://dx.doi.org/10.1071/AR9810037","http://dx.doi.org/10.1071/AR9810037")</f>
        <v>http://dx.doi.org/10.1071/AR9810037</v>
      </c>
      <c r="BI56" s="30" t="s">
        <v>245</v>
      </c>
      <c r="BJ56" s="30" t="s">
        <v>245</v>
      </c>
      <c r="BK56" s="30" t="s">
        <v>245</v>
      </c>
      <c r="BL56" s="30" t="s">
        <v>245</v>
      </c>
      <c r="BM56" s="30" t="s">
        <v>245</v>
      </c>
      <c r="BN56" s="30" t="s">
        <v>245</v>
      </c>
      <c r="BO56" s="30" t="s">
        <v>245</v>
      </c>
      <c r="BP56" s="30" t="s">
        <v>245</v>
      </c>
      <c r="BQ56" s="30" t="s">
        <v>245</v>
      </c>
      <c r="BR56" s="30" t="s">
        <v>245</v>
      </c>
      <c r="BS56" s="30" t="s">
        <v>245</v>
      </c>
      <c r="BT56" s="30" t="s">
        <v>245</v>
      </c>
      <c r="BU56" s="30" t="s">
        <v>727</v>
      </c>
      <c r="BV56" s="30" t="str">
        <f>HYPERLINK("https%3A%2F%2Fwww.webofscience.com%2Fwos%2Fwoscc%2Ffull-record%2FWOS:A1981LB54000005","View Full Record in Web of Science")</f>
        <v>View Full Record in Web of Science</v>
      </c>
    </row>
    <row r="57" spans="1:74" x14ac:dyDescent="0.2">
      <c r="A57" s="30" t="s">
        <v>243</v>
      </c>
      <c r="B57" s="30" t="s">
        <v>728</v>
      </c>
      <c r="C57" s="30" t="s">
        <v>245</v>
      </c>
      <c r="D57" s="30" t="s">
        <v>245</v>
      </c>
      <c r="E57" s="30" t="s">
        <v>245</v>
      </c>
      <c r="F57" s="30" t="s">
        <v>729</v>
      </c>
      <c r="G57" s="30" t="s">
        <v>245</v>
      </c>
      <c r="H57" s="30" t="s">
        <v>245</v>
      </c>
      <c r="I57" s="30" t="s">
        <v>2819</v>
      </c>
      <c r="K57" s="30" t="s">
        <v>730</v>
      </c>
      <c r="L57" s="30" t="s">
        <v>652</v>
      </c>
      <c r="M57" s="30" t="s">
        <v>245</v>
      </c>
      <c r="N57" s="30" t="s">
        <v>245</v>
      </c>
      <c r="O57" s="30" t="s">
        <v>245</v>
      </c>
      <c r="P57" s="30" t="s">
        <v>245</v>
      </c>
      <c r="Q57" s="30" t="s">
        <v>245</v>
      </c>
      <c r="R57" s="30" t="s">
        <v>245</v>
      </c>
      <c r="S57" s="30" t="s">
        <v>245</v>
      </c>
      <c r="T57" s="30" t="s">
        <v>245</v>
      </c>
      <c r="U57" s="30" t="s">
        <v>245</v>
      </c>
      <c r="V57" s="30" t="s">
        <v>245</v>
      </c>
      <c r="W57" s="30" t="s">
        <v>245</v>
      </c>
      <c r="X57" s="30" t="s">
        <v>245</v>
      </c>
      <c r="Y57" s="30" t="s">
        <v>245</v>
      </c>
      <c r="Z57" s="30" t="s">
        <v>245</v>
      </c>
      <c r="AA57" s="30" t="s">
        <v>245</v>
      </c>
      <c r="AB57" s="30" t="s">
        <v>245</v>
      </c>
      <c r="AC57" s="30" t="s">
        <v>731</v>
      </c>
      <c r="AD57" s="30" t="s">
        <v>732</v>
      </c>
      <c r="AE57" s="30" t="s">
        <v>245</v>
      </c>
      <c r="AF57" s="30" t="s">
        <v>245</v>
      </c>
      <c r="AG57" s="30" t="s">
        <v>245</v>
      </c>
      <c r="AH57" s="30" t="s">
        <v>245</v>
      </c>
      <c r="AI57" s="30" t="s">
        <v>245</v>
      </c>
      <c r="AJ57" s="30" t="s">
        <v>245</v>
      </c>
      <c r="AK57" s="30" t="s">
        <v>245</v>
      </c>
      <c r="AL57" s="30" t="s">
        <v>245</v>
      </c>
      <c r="AM57" s="30" t="s">
        <v>245</v>
      </c>
      <c r="AN57" s="30" t="s">
        <v>245</v>
      </c>
      <c r="AO57" s="30" t="s">
        <v>245</v>
      </c>
      <c r="AP57" s="30" t="s">
        <v>245</v>
      </c>
      <c r="AQ57" s="30" t="s">
        <v>245</v>
      </c>
      <c r="AR57" s="30" t="s">
        <v>655</v>
      </c>
      <c r="AS57" s="30" t="s">
        <v>245</v>
      </c>
      <c r="AT57" s="30" t="s">
        <v>245</v>
      </c>
      <c r="AU57" s="30" t="s">
        <v>245</v>
      </c>
      <c r="AV57" s="30" t="s">
        <v>550</v>
      </c>
      <c r="AW57" s="30">
        <v>2021</v>
      </c>
      <c r="AX57" s="30">
        <v>11</v>
      </c>
      <c r="AY57" s="30">
        <v>11</v>
      </c>
      <c r="AZ57" s="30" t="s">
        <v>245</v>
      </c>
      <c r="BA57" s="30" t="s">
        <v>245</v>
      </c>
      <c r="BB57" s="30" t="s">
        <v>245</v>
      </c>
      <c r="BC57" s="30" t="s">
        <v>245</v>
      </c>
      <c r="BD57" s="30" t="s">
        <v>245</v>
      </c>
      <c r="BE57" s="30" t="s">
        <v>245</v>
      </c>
      <c r="BF57" s="30">
        <v>1141</v>
      </c>
      <c r="BG57" s="30" t="s">
        <v>733</v>
      </c>
      <c r="BH57" s="30" t="str">
        <f>HYPERLINK("http://dx.doi.org/10.3390/agriculture11111141","http://dx.doi.org/10.3390/agriculture11111141")</f>
        <v>http://dx.doi.org/10.3390/agriculture11111141</v>
      </c>
      <c r="BI57" s="30" t="s">
        <v>245</v>
      </c>
      <c r="BJ57" s="30" t="s">
        <v>245</v>
      </c>
      <c r="BK57" s="30" t="s">
        <v>245</v>
      </c>
      <c r="BL57" s="30" t="s">
        <v>245</v>
      </c>
      <c r="BM57" s="30" t="s">
        <v>245</v>
      </c>
      <c r="BN57" s="30" t="s">
        <v>245</v>
      </c>
      <c r="BO57" s="30" t="s">
        <v>245</v>
      </c>
      <c r="BP57" s="30" t="s">
        <v>245</v>
      </c>
      <c r="BQ57" s="30" t="s">
        <v>245</v>
      </c>
      <c r="BR57" s="30" t="s">
        <v>245</v>
      </c>
      <c r="BS57" s="30" t="s">
        <v>245</v>
      </c>
      <c r="BT57" s="30" t="s">
        <v>245</v>
      </c>
      <c r="BU57" s="30" t="s">
        <v>734</v>
      </c>
      <c r="BV57" s="30" t="str">
        <f>HYPERLINK("https%3A%2F%2Fwww.webofscience.com%2Fwos%2Fwoscc%2Ffull-record%2FWOS:000725848100001","View Full Record in Web of Science")</f>
        <v>View Full Record in Web of Science</v>
      </c>
    </row>
    <row r="58" spans="1:74" x14ac:dyDescent="0.2">
      <c r="A58" s="30" t="s">
        <v>243</v>
      </c>
      <c r="B58" s="30" t="s">
        <v>735</v>
      </c>
      <c r="C58" s="30" t="s">
        <v>245</v>
      </c>
      <c r="D58" s="30" t="s">
        <v>245</v>
      </c>
      <c r="E58" s="30" t="s">
        <v>245</v>
      </c>
      <c r="F58" s="30" t="s">
        <v>736</v>
      </c>
      <c r="G58" s="30" t="s">
        <v>245</v>
      </c>
      <c r="H58" s="30" t="s">
        <v>245</v>
      </c>
      <c r="I58" s="30" t="s">
        <v>2823</v>
      </c>
      <c r="K58" s="30" t="s">
        <v>737</v>
      </c>
      <c r="L58" s="30" t="s">
        <v>738</v>
      </c>
      <c r="M58" s="30" t="s">
        <v>245</v>
      </c>
      <c r="N58" s="30" t="s">
        <v>245</v>
      </c>
      <c r="O58" s="30" t="s">
        <v>245</v>
      </c>
      <c r="P58" s="30" t="s">
        <v>245</v>
      </c>
      <c r="Q58" s="30" t="s">
        <v>245</v>
      </c>
      <c r="R58" s="30" t="s">
        <v>245</v>
      </c>
      <c r="S58" s="30" t="s">
        <v>245</v>
      </c>
      <c r="T58" s="30" t="s">
        <v>245</v>
      </c>
      <c r="U58" s="30" t="s">
        <v>245</v>
      </c>
      <c r="V58" s="30" t="s">
        <v>245</v>
      </c>
      <c r="W58" s="30" t="s">
        <v>245</v>
      </c>
      <c r="X58" s="30" t="s">
        <v>245</v>
      </c>
      <c r="Y58" s="30" t="s">
        <v>245</v>
      </c>
      <c r="Z58" s="30" t="s">
        <v>245</v>
      </c>
      <c r="AA58" s="30" t="s">
        <v>245</v>
      </c>
      <c r="AB58" s="30" t="s">
        <v>245</v>
      </c>
      <c r="AC58" s="30" t="s">
        <v>739</v>
      </c>
      <c r="AD58" s="30" t="s">
        <v>740</v>
      </c>
      <c r="AE58" s="30" t="s">
        <v>245</v>
      </c>
      <c r="AF58" s="30" t="s">
        <v>245</v>
      </c>
      <c r="AG58" s="30" t="s">
        <v>245</v>
      </c>
      <c r="AH58" s="30" t="s">
        <v>245</v>
      </c>
      <c r="AI58" s="30" t="s">
        <v>245</v>
      </c>
      <c r="AJ58" s="30" t="s">
        <v>245</v>
      </c>
      <c r="AK58" s="30" t="s">
        <v>245</v>
      </c>
      <c r="AL58" s="30" t="s">
        <v>245</v>
      </c>
      <c r="AM58" s="30" t="s">
        <v>245</v>
      </c>
      <c r="AN58" s="30" t="s">
        <v>245</v>
      </c>
      <c r="AO58" s="30" t="s">
        <v>245</v>
      </c>
      <c r="AP58" s="30" t="s">
        <v>245</v>
      </c>
      <c r="AQ58" s="30" t="s">
        <v>741</v>
      </c>
      <c r="AR58" s="30" t="s">
        <v>742</v>
      </c>
      <c r="AS58" s="30" t="s">
        <v>245</v>
      </c>
      <c r="AT58" s="30" t="s">
        <v>245</v>
      </c>
      <c r="AU58" s="30" t="s">
        <v>245</v>
      </c>
      <c r="AV58" s="30" t="s">
        <v>743</v>
      </c>
      <c r="AW58" s="30">
        <v>2020</v>
      </c>
      <c r="AX58" s="30">
        <v>37</v>
      </c>
      <c r="AY58" s="30">
        <v>1</v>
      </c>
      <c r="AZ58" s="30" t="s">
        <v>245</v>
      </c>
      <c r="BA58" s="30" t="s">
        <v>245</v>
      </c>
      <c r="BB58" s="30" t="s">
        <v>245</v>
      </c>
      <c r="BC58" s="30" t="s">
        <v>245</v>
      </c>
      <c r="BD58" s="30">
        <v>76</v>
      </c>
      <c r="BE58" s="30">
        <v>85</v>
      </c>
      <c r="BF58" s="30" t="s">
        <v>245</v>
      </c>
      <c r="BG58" s="30" t="s">
        <v>744</v>
      </c>
      <c r="BH58" s="30" t="str">
        <f>HYPERLINK("http://dx.doi.org/10.1080/01490451.2019.1666192","http://dx.doi.org/10.1080/01490451.2019.1666192")</f>
        <v>http://dx.doi.org/10.1080/01490451.2019.1666192</v>
      </c>
      <c r="BI58" s="30" t="s">
        <v>245</v>
      </c>
      <c r="BJ58" s="30" t="s">
        <v>745</v>
      </c>
      <c r="BK58" s="30" t="s">
        <v>245</v>
      </c>
      <c r="BL58" s="30" t="s">
        <v>245</v>
      </c>
      <c r="BM58" s="30" t="s">
        <v>245</v>
      </c>
      <c r="BN58" s="30" t="s">
        <v>245</v>
      </c>
      <c r="BO58" s="30" t="s">
        <v>245</v>
      </c>
      <c r="BP58" s="30" t="s">
        <v>245</v>
      </c>
      <c r="BQ58" s="30" t="s">
        <v>245</v>
      </c>
      <c r="BR58" s="30" t="s">
        <v>245</v>
      </c>
      <c r="BS58" s="30" t="s">
        <v>245</v>
      </c>
      <c r="BT58" s="30" t="s">
        <v>245</v>
      </c>
      <c r="BU58" s="30" t="s">
        <v>746</v>
      </c>
      <c r="BV58" s="30" t="str">
        <f>HYPERLINK("https%3A%2F%2Fwww.webofscience.com%2Fwos%2Fwoscc%2Ffull-record%2FWOS:000487608500001","View Full Record in Web of Science")</f>
        <v>View Full Record in Web of Science</v>
      </c>
    </row>
    <row r="59" spans="1:74" x14ac:dyDescent="0.2">
      <c r="A59" s="30" t="s">
        <v>243</v>
      </c>
      <c r="B59" s="30" t="s">
        <v>747</v>
      </c>
      <c r="C59" s="30" t="s">
        <v>245</v>
      </c>
      <c r="D59" s="30" t="s">
        <v>245</v>
      </c>
      <c r="E59" s="30" t="s">
        <v>245</v>
      </c>
      <c r="F59" s="30" t="s">
        <v>748</v>
      </c>
      <c r="G59" s="30" t="s">
        <v>245</v>
      </c>
      <c r="H59" s="30" t="s">
        <v>245</v>
      </c>
      <c r="I59" s="30" t="s">
        <v>2829</v>
      </c>
      <c r="K59" s="30" t="s">
        <v>749</v>
      </c>
      <c r="L59" s="30" t="s">
        <v>750</v>
      </c>
      <c r="M59" s="30" t="s">
        <v>245</v>
      </c>
      <c r="N59" s="30" t="s">
        <v>245</v>
      </c>
      <c r="O59" s="30" t="s">
        <v>245</v>
      </c>
      <c r="P59" s="30" t="s">
        <v>245</v>
      </c>
      <c r="Q59" s="30" t="s">
        <v>245</v>
      </c>
      <c r="R59" s="30" t="s">
        <v>245</v>
      </c>
      <c r="S59" s="30" t="s">
        <v>245</v>
      </c>
      <c r="T59" s="30" t="s">
        <v>245</v>
      </c>
      <c r="U59" s="30" t="s">
        <v>245</v>
      </c>
      <c r="V59" s="30" t="s">
        <v>245</v>
      </c>
      <c r="W59" s="30" t="s">
        <v>245</v>
      </c>
      <c r="X59" s="30" t="s">
        <v>245</v>
      </c>
      <c r="Y59" s="30" t="s">
        <v>245</v>
      </c>
      <c r="Z59" s="30" t="s">
        <v>245</v>
      </c>
      <c r="AA59" s="30" t="s">
        <v>245</v>
      </c>
      <c r="AB59" s="30" t="s">
        <v>245</v>
      </c>
      <c r="AC59" s="30" t="s">
        <v>751</v>
      </c>
      <c r="AD59" s="30" t="s">
        <v>752</v>
      </c>
      <c r="AE59" s="30" t="s">
        <v>245</v>
      </c>
      <c r="AF59" s="30" t="s">
        <v>245</v>
      </c>
      <c r="AG59" s="30" t="s">
        <v>245</v>
      </c>
      <c r="AH59" s="30" t="s">
        <v>245</v>
      </c>
      <c r="AI59" s="30" t="s">
        <v>245</v>
      </c>
      <c r="AJ59" s="30" t="s">
        <v>245</v>
      </c>
      <c r="AK59" s="30" t="s">
        <v>245</v>
      </c>
      <c r="AL59" s="30" t="s">
        <v>245</v>
      </c>
      <c r="AM59" s="30" t="s">
        <v>245</v>
      </c>
      <c r="AN59" s="30" t="s">
        <v>245</v>
      </c>
      <c r="AO59" s="30" t="s">
        <v>245</v>
      </c>
      <c r="AP59" s="30" t="s">
        <v>245</v>
      </c>
      <c r="AQ59" s="30" t="s">
        <v>245</v>
      </c>
      <c r="AR59" s="30" t="s">
        <v>753</v>
      </c>
      <c r="AS59" s="30" t="s">
        <v>245</v>
      </c>
      <c r="AT59" s="30" t="s">
        <v>245</v>
      </c>
      <c r="AU59" s="30" t="s">
        <v>245</v>
      </c>
      <c r="AV59" s="30" t="s">
        <v>487</v>
      </c>
      <c r="AW59" s="30">
        <v>2024</v>
      </c>
      <c r="AX59" s="30">
        <v>13</v>
      </c>
      <c r="AY59" s="30">
        <v>3</v>
      </c>
      <c r="AZ59" s="30" t="s">
        <v>245</v>
      </c>
      <c r="BA59" s="30" t="s">
        <v>245</v>
      </c>
      <c r="BB59" s="30" t="s">
        <v>245</v>
      </c>
      <c r="BC59" s="30" t="s">
        <v>245</v>
      </c>
      <c r="BD59" s="30" t="s">
        <v>245</v>
      </c>
      <c r="BE59" s="30" t="s">
        <v>245</v>
      </c>
      <c r="BF59" s="30">
        <v>36</v>
      </c>
      <c r="BG59" s="30" t="s">
        <v>754</v>
      </c>
      <c r="BH59" s="30" t="str">
        <f>HYPERLINK("http://dx.doi.org/10.3390/resources13030036","http://dx.doi.org/10.3390/resources13030036")</f>
        <v>http://dx.doi.org/10.3390/resources13030036</v>
      </c>
      <c r="BI59" s="30" t="s">
        <v>245</v>
      </c>
      <c r="BJ59" s="30" t="s">
        <v>245</v>
      </c>
      <c r="BK59" s="30" t="s">
        <v>245</v>
      </c>
      <c r="BL59" s="30" t="s">
        <v>245</v>
      </c>
      <c r="BM59" s="30" t="s">
        <v>245</v>
      </c>
      <c r="BN59" s="30" t="s">
        <v>245</v>
      </c>
      <c r="BO59" s="30" t="s">
        <v>245</v>
      </c>
      <c r="BP59" s="30" t="s">
        <v>245</v>
      </c>
      <c r="BQ59" s="30" t="s">
        <v>245</v>
      </c>
      <c r="BR59" s="30" t="s">
        <v>245</v>
      </c>
      <c r="BS59" s="30" t="s">
        <v>245</v>
      </c>
      <c r="BT59" s="30" t="s">
        <v>245</v>
      </c>
      <c r="BU59" s="30" t="s">
        <v>755</v>
      </c>
      <c r="BV59" s="30" t="str">
        <f>HYPERLINK("https%3A%2F%2Fwww.webofscience.com%2Fwos%2Fwoscc%2Ffull-record%2FWOS:001192733900001","View Full Record in Web of Science")</f>
        <v>View Full Record in Web of Science</v>
      </c>
    </row>
    <row r="60" spans="1:74" x14ac:dyDescent="0.2">
      <c r="A60" s="30" t="s">
        <v>243</v>
      </c>
      <c r="B60" s="30" t="s">
        <v>756</v>
      </c>
      <c r="C60" s="30" t="s">
        <v>245</v>
      </c>
      <c r="D60" s="30" t="s">
        <v>245</v>
      </c>
      <c r="E60" s="30" t="s">
        <v>245</v>
      </c>
      <c r="F60" s="30" t="s">
        <v>756</v>
      </c>
      <c r="G60" s="30" t="s">
        <v>245</v>
      </c>
      <c r="H60" s="30" t="s">
        <v>245</v>
      </c>
      <c r="I60" s="30" t="s">
        <v>2823</v>
      </c>
      <c r="K60" s="30" t="s">
        <v>757</v>
      </c>
      <c r="L60" s="30" t="s">
        <v>758</v>
      </c>
      <c r="M60" s="30" t="s">
        <v>245</v>
      </c>
      <c r="N60" s="30" t="s">
        <v>245</v>
      </c>
      <c r="O60" s="30" t="s">
        <v>245</v>
      </c>
      <c r="P60" s="30" t="s">
        <v>245</v>
      </c>
      <c r="Q60" s="30" t="s">
        <v>245</v>
      </c>
      <c r="R60" s="30" t="s">
        <v>245</v>
      </c>
      <c r="S60" s="30" t="s">
        <v>245</v>
      </c>
      <c r="T60" s="30" t="s">
        <v>245</v>
      </c>
      <c r="U60" s="30" t="s">
        <v>245</v>
      </c>
      <c r="V60" s="30" t="s">
        <v>245</v>
      </c>
      <c r="W60" s="30" t="s">
        <v>245</v>
      </c>
      <c r="X60" s="30" t="s">
        <v>245</v>
      </c>
      <c r="Y60" s="30" t="s">
        <v>245</v>
      </c>
      <c r="Z60" s="30" t="s">
        <v>245</v>
      </c>
      <c r="AA60" s="30" t="s">
        <v>245</v>
      </c>
      <c r="AB60" s="30" t="s">
        <v>245</v>
      </c>
      <c r="AC60" s="30" t="s">
        <v>245</v>
      </c>
      <c r="AD60" s="30" t="s">
        <v>245</v>
      </c>
      <c r="AE60" s="30" t="s">
        <v>245</v>
      </c>
      <c r="AF60" s="30" t="s">
        <v>245</v>
      </c>
      <c r="AG60" s="30" t="s">
        <v>245</v>
      </c>
      <c r="AH60" s="30" t="s">
        <v>245</v>
      </c>
      <c r="AI60" s="30" t="s">
        <v>245</v>
      </c>
      <c r="AJ60" s="30" t="s">
        <v>245</v>
      </c>
      <c r="AK60" s="30" t="s">
        <v>245</v>
      </c>
      <c r="AL60" s="30" t="s">
        <v>245</v>
      </c>
      <c r="AM60" s="30" t="s">
        <v>245</v>
      </c>
      <c r="AN60" s="30" t="s">
        <v>245</v>
      </c>
      <c r="AO60" s="30" t="s">
        <v>245</v>
      </c>
      <c r="AP60" s="30" t="s">
        <v>245</v>
      </c>
      <c r="AQ60" s="30" t="s">
        <v>759</v>
      </c>
      <c r="AR60" s="30" t="s">
        <v>245</v>
      </c>
      <c r="AS60" s="30" t="s">
        <v>245</v>
      </c>
      <c r="AT60" s="30" t="s">
        <v>245</v>
      </c>
      <c r="AU60" s="30" t="s">
        <v>245</v>
      </c>
      <c r="AV60" s="30" t="s">
        <v>454</v>
      </c>
      <c r="AW60" s="30">
        <v>1997</v>
      </c>
      <c r="AX60" s="30">
        <v>25</v>
      </c>
      <c r="AY60" s="30">
        <v>3</v>
      </c>
      <c r="AZ60" s="30" t="s">
        <v>245</v>
      </c>
      <c r="BA60" s="30" t="s">
        <v>245</v>
      </c>
      <c r="BB60" s="30" t="s">
        <v>245</v>
      </c>
      <c r="BC60" s="30" t="s">
        <v>245</v>
      </c>
      <c r="BD60" s="30">
        <v>252</v>
      </c>
      <c r="BE60" s="30">
        <v>260</v>
      </c>
      <c r="BF60" s="30" t="s">
        <v>245</v>
      </c>
      <c r="BG60" s="30" t="s">
        <v>760</v>
      </c>
      <c r="BH60" s="30" t="str">
        <f>HYPERLINK("http://dx.doi.org/10.1007/s003740050311","http://dx.doi.org/10.1007/s003740050311")</f>
        <v>http://dx.doi.org/10.1007/s003740050311</v>
      </c>
      <c r="BI60" s="30" t="s">
        <v>245</v>
      </c>
      <c r="BJ60" s="30" t="s">
        <v>245</v>
      </c>
      <c r="BK60" s="30" t="s">
        <v>245</v>
      </c>
      <c r="BL60" s="30" t="s">
        <v>245</v>
      </c>
      <c r="BM60" s="30" t="s">
        <v>245</v>
      </c>
      <c r="BN60" s="30" t="s">
        <v>245</v>
      </c>
      <c r="BO60" s="30" t="s">
        <v>245</v>
      </c>
      <c r="BP60" s="30" t="s">
        <v>245</v>
      </c>
      <c r="BQ60" s="30" t="s">
        <v>245</v>
      </c>
      <c r="BR60" s="30" t="s">
        <v>245</v>
      </c>
      <c r="BS60" s="30" t="s">
        <v>245</v>
      </c>
      <c r="BT60" s="30" t="s">
        <v>245</v>
      </c>
      <c r="BU60" s="30" t="s">
        <v>761</v>
      </c>
      <c r="BV60" s="30" t="str">
        <f>HYPERLINK("https%3A%2F%2Fwww.webofscience.com%2Fwos%2Fwoscc%2Ffull-record%2FWOS:A1997XY71000006","View Full Record in Web of Science")</f>
        <v>View Full Record in Web of Science</v>
      </c>
    </row>
    <row r="61" spans="1:74" x14ac:dyDescent="0.2">
      <c r="A61" s="30" t="s">
        <v>243</v>
      </c>
      <c r="B61" s="30" t="s">
        <v>762</v>
      </c>
      <c r="C61" s="30" t="s">
        <v>245</v>
      </c>
      <c r="D61" s="30" t="s">
        <v>245</v>
      </c>
      <c r="E61" s="30" t="s">
        <v>245</v>
      </c>
      <c r="F61" s="30" t="s">
        <v>763</v>
      </c>
      <c r="G61" s="30" t="s">
        <v>245</v>
      </c>
      <c r="H61" s="30" t="s">
        <v>245</v>
      </c>
      <c r="J61" s="30" t="s">
        <v>2830</v>
      </c>
      <c r="K61" s="30" t="s">
        <v>764</v>
      </c>
      <c r="L61" s="30" t="s">
        <v>765</v>
      </c>
      <c r="M61" s="30" t="s">
        <v>245</v>
      </c>
      <c r="N61" s="30" t="s">
        <v>245</v>
      </c>
      <c r="O61" s="30" t="s">
        <v>245</v>
      </c>
      <c r="P61" s="30" t="s">
        <v>245</v>
      </c>
      <c r="Q61" s="30" t="s">
        <v>245</v>
      </c>
      <c r="R61" s="30" t="s">
        <v>245</v>
      </c>
      <c r="S61" s="30" t="s">
        <v>245</v>
      </c>
      <c r="T61" s="30" t="s">
        <v>245</v>
      </c>
      <c r="U61" s="30" t="s">
        <v>245</v>
      </c>
      <c r="V61" s="30" t="s">
        <v>245</v>
      </c>
      <c r="W61" s="30" t="s">
        <v>245</v>
      </c>
      <c r="X61" s="30" t="s">
        <v>245</v>
      </c>
      <c r="Y61" s="30" t="s">
        <v>245</v>
      </c>
      <c r="Z61" s="30" t="s">
        <v>245</v>
      </c>
      <c r="AA61" s="30" t="s">
        <v>245</v>
      </c>
      <c r="AB61" s="30" t="s">
        <v>245</v>
      </c>
      <c r="AC61" s="30" t="s">
        <v>766</v>
      </c>
      <c r="AD61" s="30" t="s">
        <v>767</v>
      </c>
      <c r="AE61" s="30" t="s">
        <v>245</v>
      </c>
      <c r="AF61" s="30" t="s">
        <v>245</v>
      </c>
      <c r="AG61" s="30" t="s">
        <v>245</v>
      </c>
      <c r="AH61" s="30" t="s">
        <v>245</v>
      </c>
      <c r="AI61" s="30" t="s">
        <v>245</v>
      </c>
      <c r="AJ61" s="30" t="s">
        <v>245</v>
      </c>
      <c r="AK61" s="30" t="s">
        <v>245</v>
      </c>
      <c r="AL61" s="30" t="s">
        <v>245</v>
      </c>
      <c r="AM61" s="30" t="s">
        <v>245</v>
      </c>
      <c r="AN61" s="30" t="s">
        <v>245</v>
      </c>
      <c r="AO61" s="30" t="s">
        <v>245</v>
      </c>
      <c r="AP61" s="30" t="s">
        <v>245</v>
      </c>
      <c r="AQ61" s="30" t="s">
        <v>768</v>
      </c>
      <c r="AR61" s="30" t="s">
        <v>769</v>
      </c>
      <c r="AS61" s="30" t="s">
        <v>245</v>
      </c>
      <c r="AT61" s="30" t="s">
        <v>245</v>
      </c>
      <c r="AU61" s="30" t="s">
        <v>245</v>
      </c>
      <c r="AV61" s="30" t="s">
        <v>770</v>
      </c>
      <c r="AW61" s="30">
        <v>2020</v>
      </c>
      <c r="AX61" s="30">
        <v>230</v>
      </c>
      <c r="AY61" s="30" t="s">
        <v>245</v>
      </c>
      <c r="AZ61" s="30" t="s">
        <v>245</v>
      </c>
      <c r="BA61" s="30" t="s">
        <v>245</v>
      </c>
      <c r="BB61" s="30" t="s">
        <v>245</v>
      </c>
      <c r="BC61" s="30" t="s">
        <v>245</v>
      </c>
      <c r="BD61" s="30" t="s">
        <v>245</v>
      </c>
      <c r="BE61" s="30" t="s">
        <v>245</v>
      </c>
      <c r="BF61" s="30">
        <v>117506</v>
      </c>
      <c r="BG61" s="30" t="s">
        <v>771</v>
      </c>
      <c r="BH61" s="30" t="str">
        <f>HYPERLINK("http://dx.doi.org/10.1016/j.atmosenv.2020.117506","http://dx.doi.org/10.1016/j.atmosenv.2020.117506")</f>
        <v>http://dx.doi.org/10.1016/j.atmosenv.2020.117506</v>
      </c>
      <c r="BI61" s="30" t="s">
        <v>245</v>
      </c>
      <c r="BJ61" s="30" t="s">
        <v>245</v>
      </c>
      <c r="BK61" s="30" t="s">
        <v>245</v>
      </c>
      <c r="BL61" s="30" t="s">
        <v>245</v>
      </c>
      <c r="BM61" s="30" t="s">
        <v>245</v>
      </c>
      <c r="BN61" s="30" t="s">
        <v>245</v>
      </c>
      <c r="BO61" s="30" t="s">
        <v>245</v>
      </c>
      <c r="BP61" s="30" t="s">
        <v>245</v>
      </c>
      <c r="BQ61" s="30" t="s">
        <v>245</v>
      </c>
      <c r="BR61" s="30" t="s">
        <v>245</v>
      </c>
      <c r="BS61" s="30" t="s">
        <v>245</v>
      </c>
      <c r="BT61" s="30" t="s">
        <v>245</v>
      </c>
      <c r="BU61" s="30" t="s">
        <v>772</v>
      </c>
      <c r="BV61" s="30" t="str">
        <f>HYPERLINK("https%3A%2F%2Fwww.webofscience.com%2Fwos%2Fwoscc%2Ffull-record%2FWOS:000537838300018","View Full Record in Web of Science")</f>
        <v>View Full Record in Web of Science</v>
      </c>
    </row>
    <row r="62" spans="1:74" x14ac:dyDescent="0.2">
      <c r="A62" s="30" t="s">
        <v>243</v>
      </c>
      <c r="B62" s="30" t="s">
        <v>773</v>
      </c>
      <c r="C62" s="30" t="s">
        <v>245</v>
      </c>
      <c r="D62" s="30" t="s">
        <v>245</v>
      </c>
      <c r="E62" s="30" t="s">
        <v>245</v>
      </c>
      <c r="F62" s="30" t="s">
        <v>774</v>
      </c>
      <c r="G62" s="30" t="s">
        <v>245</v>
      </c>
      <c r="H62" s="30" t="s">
        <v>245</v>
      </c>
      <c r="I62" s="30" t="s">
        <v>2821</v>
      </c>
      <c r="K62" s="30" t="s">
        <v>775</v>
      </c>
      <c r="L62" s="30" t="s">
        <v>776</v>
      </c>
      <c r="M62" s="30" t="s">
        <v>245</v>
      </c>
      <c r="N62" s="30" t="s">
        <v>245</v>
      </c>
      <c r="O62" s="30" t="s">
        <v>245</v>
      </c>
      <c r="P62" s="30" t="s">
        <v>245</v>
      </c>
      <c r="Q62" s="30" t="s">
        <v>245</v>
      </c>
      <c r="R62" s="30" t="s">
        <v>245</v>
      </c>
      <c r="S62" s="30" t="s">
        <v>245</v>
      </c>
      <c r="T62" s="30" t="s">
        <v>245</v>
      </c>
      <c r="U62" s="30" t="s">
        <v>245</v>
      </c>
      <c r="V62" s="30" t="s">
        <v>245</v>
      </c>
      <c r="W62" s="30" t="s">
        <v>245</v>
      </c>
      <c r="X62" s="30" t="s">
        <v>245</v>
      </c>
      <c r="Y62" s="30" t="s">
        <v>245</v>
      </c>
      <c r="Z62" s="30" t="s">
        <v>245</v>
      </c>
      <c r="AA62" s="30" t="s">
        <v>245</v>
      </c>
      <c r="AB62" s="30" t="s">
        <v>245</v>
      </c>
      <c r="AC62" s="30" t="s">
        <v>777</v>
      </c>
      <c r="AD62" s="30" t="s">
        <v>778</v>
      </c>
      <c r="AE62" s="30" t="s">
        <v>245</v>
      </c>
      <c r="AF62" s="30" t="s">
        <v>245</v>
      </c>
      <c r="AG62" s="30" t="s">
        <v>245</v>
      </c>
      <c r="AH62" s="30" t="s">
        <v>245</v>
      </c>
      <c r="AI62" s="30" t="s">
        <v>245</v>
      </c>
      <c r="AJ62" s="30" t="s">
        <v>245</v>
      </c>
      <c r="AK62" s="30" t="s">
        <v>245</v>
      </c>
      <c r="AL62" s="30" t="s">
        <v>245</v>
      </c>
      <c r="AM62" s="30" t="s">
        <v>245</v>
      </c>
      <c r="AN62" s="30" t="s">
        <v>245</v>
      </c>
      <c r="AO62" s="30" t="s">
        <v>245</v>
      </c>
      <c r="AP62" s="30" t="s">
        <v>245</v>
      </c>
      <c r="AQ62" s="30" t="s">
        <v>779</v>
      </c>
      <c r="AR62" s="30" t="s">
        <v>245</v>
      </c>
      <c r="AS62" s="30" t="s">
        <v>245</v>
      </c>
      <c r="AT62" s="30" t="s">
        <v>245</v>
      </c>
      <c r="AU62" s="30" t="s">
        <v>245</v>
      </c>
      <c r="AV62" s="30" t="s">
        <v>481</v>
      </c>
      <c r="AW62" s="30">
        <v>2015</v>
      </c>
      <c r="AX62" s="30">
        <v>13</v>
      </c>
      <c r="AY62" s="30">
        <v>4</v>
      </c>
      <c r="AZ62" s="30" t="s">
        <v>245</v>
      </c>
      <c r="BA62" s="30" t="s">
        <v>245</v>
      </c>
      <c r="BB62" s="30" t="s">
        <v>245</v>
      </c>
      <c r="BC62" s="30" t="s">
        <v>245</v>
      </c>
      <c r="BD62" s="30" t="s">
        <v>245</v>
      </c>
      <c r="BE62" s="30" t="s">
        <v>245</v>
      </c>
      <c r="BF62" s="30" t="s">
        <v>245</v>
      </c>
      <c r="BG62" s="30" t="s">
        <v>780</v>
      </c>
      <c r="BH62" s="30" t="str">
        <f>HYPERLINK("http://dx.doi.org/10.5424/sjar/2015134-7622","http://dx.doi.org/10.5424/sjar/2015134-7622")</f>
        <v>http://dx.doi.org/10.5424/sjar/2015134-7622</v>
      </c>
      <c r="BI62" s="30" t="s">
        <v>245</v>
      </c>
      <c r="BJ62" s="30" t="s">
        <v>245</v>
      </c>
      <c r="BK62" s="30" t="s">
        <v>245</v>
      </c>
      <c r="BL62" s="30" t="s">
        <v>245</v>
      </c>
      <c r="BM62" s="30" t="s">
        <v>245</v>
      </c>
      <c r="BN62" s="30" t="s">
        <v>245</v>
      </c>
      <c r="BO62" s="30" t="s">
        <v>245</v>
      </c>
      <c r="BP62" s="30" t="s">
        <v>245</v>
      </c>
      <c r="BQ62" s="30" t="s">
        <v>245</v>
      </c>
      <c r="BR62" s="30" t="s">
        <v>245</v>
      </c>
      <c r="BS62" s="30" t="s">
        <v>245</v>
      </c>
      <c r="BT62" s="30" t="s">
        <v>245</v>
      </c>
      <c r="BU62" s="30" t="s">
        <v>781</v>
      </c>
      <c r="BV62" s="30" t="str">
        <f>HYPERLINK("https%3A%2F%2Fwww.webofscience.com%2Fwos%2Fwoscc%2Ffull-record%2FWOS:000367022100009","View Full Record in Web of Science")</f>
        <v>View Full Record in Web of Science</v>
      </c>
    </row>
    <row r="63" spans="1:74" x14ac:dyDescent="0.2">
      <c r="A63" s="30" t="s">
        <v>243</v>
      </c>
      <c r="B63" s="30" t="s">
        <v>782</v>
      </c>
      <c r="C63" s="30" t="s">
        <v>245</v>
      </c>
      <c r="D63" s="30" t="s">
        <v>245</v>
      </c>
      <c r="E63" s="30" t="s">
        <v>245</v>
      </c>
      <c r="F63" s="30" t="s">
        <v>782</v>
      </c>
      <c r="G63" s="30" t="s">
        <v>245</v>
      </c>
      <c r="H63" s="30" t="s">
        <v>245</v>
      </c>
      <c r="I63" s="30" t="s">
        <v>2823</v>
      </c>
      <c r="K63" s="30" t="s">
        <v>783</v>
      </c>
      <c r="L63" s="30" t="s">
        <v>784</v>
      </c>
      <c r="M63" s="30" t="s">
        <v>245</v>
      </c>
      <c r="N63" s="30" t="s">
        <v>245</v>
      </c>
      <c r="O63" s="30" t="s">
        <v>245</v>
      </c>
      <c r="P63" s="30" t="s">
        <v>245</v>
      </c>
      <c r="Q63" s="30" t="s">
        <v>245</v>
      </c>
      <c r="R63" s="30" t="s">
        <v>245</v>
      </c>
      <c r="S63" s="30" t="s">
        <v>245</v>
      </c>
      <c r="T63" s="30" t="s">
        <v>245</v>
      </c>
      <c r="U63" s="30" t="s">
        <v>245</v>
      </c>
      <c r="V63" s="30" t="s">
        <v>245</v>
      </c>
      <c r="W63" s="30" t="s">
        <v>245</v>
      </c>
      <c r="X63" s="30" t="s">
        <v>245</v>
      </c>
      <c r="Y63" s="30" t="s">
        <v>245</v>
      </c>
      <c r="Z63" s="30" t="s">
        <v>245</v>
      </c>
      <c r="AA63" s="30" t="s">
        <v>245</v>
      </c>
      <c r="AB63" s="30" t="s">
        <v>245</v>
      </c>
      <c r="AC63" s="30" t="s">
        <v>785</v>
      </c>
      <c r="AD63" s="30" t="s">
        <v>786</v>
      </c>
      <c r="AE63" s="30" t="s">
        <v>245</v>
      </c>
      <c r="AF63" s="30" t="s">
        <v>245</v>
      </c>
      <c r="AG63" s="30" t="s">
        <v>245</v>
      </c>
      <c r="AH63" s="30" t="s">
        <v>245</v>
      </c>
      <c r="AI63" s="30" t="s">
        <v>245</v>
      </c>
      <c r="AJ63" s="30" t="s">
        <v>245</v>
      </c>
      <c r="AK63" s="30" t="s">
        <v>245</v>
      </c>
      <c r="AL63" s="30" t="s">
        <v>245</v>
      </c>
      <c r="AM63" s="30" t="s">
        <v>245</v>
      </c>
      <c r="AN63" s="30" t="s">
        <v>245</v>
      </c>
      <c r="AO63" s="30" t="s">
        <v>245</v>
      </c>
      <c r="AP63" s="30" t="s">
        <v>245</v>
      </c>
      <c r="AQ63" s="30" t="s">
        <v>787</v>
      </c>
      <c r="AR63" s="30" t="s">
        <v>788</v>
      </c>
      <c r="AS63" s="30" t="s">
        <v>245</v>
      </c>
      <c r="AT63" s="30" t="s">
        <v>245</v>
      </c>
      <c r="AU63" s="30" t="s">
        <v>245</v>
      </c>
      <c r="AV63" s="30" t="s">
        <v>354</v>
      </c>
      <c r="AW63" s="30">
        <v>1998</v>
      </c>
      <c r="AX63" s="30">
        <v>4</v>
      </c>
      <c r="AY63" s="30">
        <v>4</v>
      </c>
      <c r="AZ63" s="30" t="s">
        <v>245</v>
      </c>
      <c r="BA63" s="30" t="s">
        <v>245</v>
      </c>
      <c r="BB63" s="30" t="s">
        <v>245</v>
      </c>
      <c r="BC63" s="30" t="s">
        <v>245</v>
      </c>
      <c r="BD63" s="30">
        <v>397</v>
      </c>
      <c r="BE63" s="30">
        <v>407</v>
      </c>
      <c r="BF63" s="30" t="s">
        <v>245</v>
      </c>
      <c r="BG63" s="30" t="s">
        <v>789</v>
      </c>
      <c r="BH63" s="30" t="str">
        <f>HYPERLINK("http://dx.doi.org/10.1046/j.1365-2486.1998.00162.x","http://dx.doi.org/10.1046/j.1365-2486.1998.00162.x")</f>
        <v>http://dx.doi.org/10.1046/j.1365-2486.1998.00162.x</v>
      </c>
      <c r="BI63" s="30" t="s">
        <v>245</v>
      </c>
      <c r="BJ63" s="30" t="s">
        <v>245</v>
      </c>
      <c r="BK63" s="30" t="s">
        <v>245</v>
      </c>
      <c r="BL63" s="30" t="s">
        <v>245</v>
      </c>
      <c r="BM63" s="30" t="s">
        <v>245</v>
      </c>
      <c r="BN63" s="30" t="s">
        <v>245</v>
      </c>
      <c r="BO63" s="30" t="s">
        <v>245</v>
      </c>
      <c r="BP63" s="30" t="s">
        <v>245</v>
      </c>
      <c r="BQ63" s="30" t="s">
        <v>245</v>
      </c>
      <c r="BR63" s="30" t="s">
        <v>245</v>
      </c>
      <c r="BS63" s="30" t="s">
        <v>245</v>
      </c>
      <c r="BT63" s="30" t="s">
        <v>245</v>
      </c>
      <c r="BU63" s="30" t="s">
        <v>790</v>
      </c>
      <c r="BV63" s="30" t="str">
        <f>HYPERLINK("https%3A%2F%2Fwww.webofscience.com%2Fwos%2Fwoscc%2Ffull-record%2FWOS:000073392600004","View Full Record in Web of Science")</f>
        <v>View Full Record in Web of Science</v>
      </c>
    </row>
    <row r="64" spans="1:74" x14ac:dyDescent="0.2">
      <c r="A64" s="30" t="s">
        <v>243</v>
      </c>
      <c r="B64" s="30" t="s">
        <v>791</v>
      </c>
      <c r="C64" s="30" t="s">
        <v>245</v>
      </c>
      <c r="D64" s="30" t="s">
        <v>245</v>
      </c>
      <c r="E64" s="30" t="s">
        <v>245</v>
      </c>
      <c r="F64" s="30" t="s">
        <v>791</v>
      </c>
      <c r="G64" s="30" t="s">
        <v>245</v>
      </c>
      <c r="H64" s="30" t="s">
        <v>245</v>
      </c>
      <c r="K64" s="30" t="s">
        <v>792</v>
      </c>
      <c r="L64" s="30" t="s">
        <v>758</v>
      </c>
      <c r="M64" s="30" t="s">
        <v>245</v>
      </c>
      <c r="N64" s="30" t="s">
        <v>245</v>
      </c>
      <c r="O64" s="30" t="s">
        <v>245</v>
      </c>
      <c r="P64" s="30" t="s">
        <v>245</v>
      </c>
      <c r="Q64" s="30" t="s">
        <v>245</v>
      </c>
      <c r="R64" s="30" t="s">
        <v>245</v>
      </c>
      <c r="S64" s="30" t="s">
        <v>245</v>
      </c>
      <c r="T64" s="30" t="s">
        <v>245</v>
      </c>
      <c r="U64" s="30" t="s">
        <v>245</v>
      </c>
      <c r="V64" s="30" t="s">
        <v>245</v>
      </c>
      <c r="W64" s="30" t="s">
        <v>245</v>
      </c>
      <c r="X64" s="30" t="s">
        <v>245</v>
      </c>
      <c r="Y64" s="30" t="s">
        <v>245</v>
      </c>
      <c r="Z64" s="30" t="s">
        <v>245</v>
      </c>
      <c r="AA64" s="30" t="s">
        <v>245</v>
      </c>
      <c r="AB64" s="30" t="s">
        <v>245</v>
      </c>
      <c r="AC64" s="30" t="s">
        <v>793</v>
      </c>
      <c r="AD64" s="30" t="s">
        <v>794</v>
      </c>
      <c r="AE64" s="30" t="s">
        <v>245</v>
      </c>
      <c r="AF64" s="30" t="s">
        <v>245</v>
      </c>
      <c r="AG64" s="30" t="s">
        <v>245</v>
      </c>
      <c r="AH64" s="30" t="s">
        <v>245</v>
      </c>
      <c r="AI64" s="30" t="s">
        <v>245</v>
      </c>
      <c r="AJ64" s="30" t="s">
        <v>245</v>
      </c>
      <c r="AK64" s="30" t="s">
        <v>245</v>
      </c>
      <c r="AL64" s="30" t="s">
        <v>245</v>
      </c>
      <c r="AM64" s="30" t="s">
        <v>245</v>
      </c>
      <c r="AN64" s="30" t="s">
        <v>245</v>
      </c>
      <c r="AO64" s="30" t="s">
        <v>245</v>
      </c>
      <c r="AP64" s="30" t="s">
        <v>245</v>
      </c>
      <c r="AQ64" s="30" t="s">
        <v>759</v>
      </c>
      <c r="AR64" s="30" t="s">
        <v>245</v>
      </c>
      <c r="AS64" s="30" t="s">
        <v>245</v>
      </c>
      <c r="AT64" s="30" t="s">
        <v>245</v>
      </c>
      <c r="AU64" s="30" t="s">
        <v>245</v>
      </c>
      <c r="AV64" s="30" t="s">
        <v>354</v>
      </c>
      <c r="AW64" s="30">
        <v>2002</v>
      </c>
      <c r="AX64" s="30">
        <v>35</v>
      </c>
      <c r="AY64" s="30">
        <v>2</v>
      </c>
      <c r="AZ64" s="30" t="s">
        <v>245</v>
      </c>
      <c r="BA64" s="30" t="s">
        <v>245</v>
      </c>
      <c r="BB64" s="30" t="s">
        <v>245</v>
      </c>
      <c r="BC64" s="30" t="s">
        <v>245</v>
      </c>
      <c r="BD64" s="30">
        <v>108</v>
      </c>
      <c r="BE64" s="30">
        <v>113</v>
      </c>
      <c r="BF64" s="30" t="s">
        <v>245</v>
      </c>
      <c r="BG64" s="30" t="s">
        <v>795</v>
      </c>
      <c r="BH64" s="30" t="str">
        <f>HYPERLINK("http://dx.doi.org/10.1007/s00374-002-0447-7","http://dx.doi.org/10.1007/s00374-002-0447-7")</f>
        <v>http://dx.doi.org/10.1007/s00374-002-0447-7</v>
      </c>
      <c r="BI64" s="30" t="s">
        <v>245</v>
      </c>
      <c r="BJ64" s="30" t="s">
        <v>245</v>
      </c>
      <c r="BK64" s="30" t="s">
        <v>245</v>
      </c>
      <c r="BL64" s="30" t="s">
        <v>245</v>
      </c>
      <c r="BM64" s="30" t="s">
        <v>245</v>
      </c>
      <c r="BN64" s="30" t="s">
        <v>245</v>
      </c>
      <c r="BO64" s="30" t="s">
        <v>245</v>
      </c>
      <c r="BP64" s="30" t="s">
        <v>245</v>
      </c>
      <c r="BQ64" s="30" t="s">
        <v>245</v>
      </c>
      <c r="BR64" s="30" t="s">
        <v>245</v>
      </c>
      <c r="BS64" s="30" t="s">
        <v>245</v>
      </c>
      <c r="BT64" s="30" t="s">
        <v>245</v>
      </c>
      <c r="BU64" s="30" t="s">
        <v>796</v>
      </c>
      <c r="BV64" s="30" t="str">
        <f>HYPERLINK("https%3A%2F%2Fwww.webofscience.com%2Fwos%2Fwoscc%2Ffull-record%2FWOS:000175329600007","View Full Record in Web of Science")</f>
        <v>View Full Record in Web of Science</v>
      </c>
    </row>
    <row r="65" spans="1:74" x14ac:dyDescent="0.2">
      <c r="A65" s="30" t="s">
        <v>243</v>
      </c>
      <c r="B65" s="30" t="s">
        <v>797</v>
      </c>
      <c r="C65" s="30" t="s">
        <v>245</v>
      </c>
      <c r="D65" s="30" t="s">
        <v>245</v>
      </c>
      <c r="E65" s="30" t="s">
        <v>245</v>
      </c>
      <c r="F65" s="30" t="s">
        <v>798</v>
      </c>
      <c r="G65" s="30" t="s">
        <v>245</v>
      </c>
      <c r="H65" s="30" t="s">
        <v>245</v>
      </c>
      <c r="I65" s="30" t="s">
        <v>2821</v>
      </c>
      <c r="K65" s="30" t="s">
        <v>799</v>
      </c>
      <c r="L65" s="30" t="s">
        <v>304</v>
      </c>
      <c r="M65" s="30" t="s">
        <v>245</v>
      </c>
      <c r="N65" s="30" t="s">
        <v>245</v>
      </c>
      <c r="O65" s="30" t="s">
        <v>245</v>
      </c>
      <c r="P65" s="30" t="s">
        <v>245</v>
      </c>
      <c r="Q65" s="30" t="s">
        <v>245</v>
      </c>
      <c r="R65" s="30" t="s">
        <v>245</v>
      </c>
      <c r="S65" s="30" t="s">
        <v>245</v>
      </c>
      <c r="T65" s="30" t="s">
        <v>245</v>
      </c>
      <c r="U65" s="30" t="s">
        <v>245</v>
      </c>
      <c r="V65" s="30" t="s">
        <v>245</v>
      </c>
      <c r="W65" s="30" t="s">
        <v>245</v>
      </c>
      <c r="X65" s="30" t="s">
        <v>245</v>
      </c>
      <c r="Y65" s="30" t="s">
        <v>245</v>
      </c>
      <c r="Z65" s="30" t="s">
        <v>245</v>
      </c>
      <c r="AA65" s="30" t="s">
        <v>245</v>
      </c>
      <c r="AB65" s="30" t="s">
        <v>245</v>
      </c>
      <c r="AC65" s="30" t="s">
        <v>800</v>
      </c>
      <c r="AD65" s="30" t="s">
        <v>250</v>
      </c>
      <c r="AE65" s="30" t="s">
        <v>245</v>
      </c>
      <c r="AF65" s="30" t="s">
        <v>245</v>
      </c>
      <c r="AG65" s="30" t="s">
        <v>245</v>
      </c>
      <c r="AH65" s="30" t="s">
        <v>245</v>
      </c>
      <c r="AI65" s="30" t="s">
        <v>245</v>
      </c>
      <c r="AJ65" s="30" t="s">
        <v>245</v>
      </c>
      <c r="AK65" s="30" t="s">
        <v>245</v>
      </c>
      <c r="AL65" s="30" t="s">
        <v>245</v>
      </c>
      <c r="AM65" s="30" t="s">
        <v>245</v>
      </c>
      <c r="AN65" s="30" t="s">
        <v>245</v>
      </c>
      <c r="AO65" s="30" t="s">
        <v>245</v>
      </c>
      <c r="AP65" s="30" t="s">
        <v>245</v>
      </c>
      <c r="AQ65" s="30" t="s">
        <v>307</v>
      </c>
      <c r="AR65" s="30" t="s">
        <v>308</v>
      </c>
      <c r="AS65" s="30" t="s">
        <v>245</v>
      </c>
      <c r="AT65" s="30" t="s">
        <v>245</v>
      </c>
      <c r="AU65" s="30" t="s">
        <v>245</v>
      </c>
      <c r="AV65" s="30" t="s">
        <v>354</v>
      </c>
      <c r="AW65" s="30">
        <v>2011</v>
      </c>
      <c r="AX65" s="30">
        <v>57</v>
      </c>
      <c r="AY65" s="30">
        <v>2</v>
      </c>
      <c r="AZ65" s="30" t="s">
        <v>245</v>
      </c>
      <c r="BA65" s="30" t="s">
        <v>245</v>
      </c>
      <c r="BB65" s="30" t="s">
        <v>245</v>
      </c>
      <c r="BC65" s="30" t="s">
        <v>245</v>
      </c>
      <c r="BD65" s="30">
        <v>348</v>
      </c>
      <c r="BE65" s="30">
        <v>360</v>
      </c>
      <c r="BF65" s="30" t="s">
        <v>801</v>
      </c>
      <c r="BG65" s="30" t="s">
        <v>802</v>
      </c>
      <c r="BH65" s="30" t="str">
        <f>HYPERLINK("http://dx.doi.org/10.1080/00380768.2011.574596","http://dx.doi.org/10.1080/00380768.2011.574596")</f>
        <v>http://dx.doi.org/10.1080/00380768.2011.574596</v>
      </c>
      <c r="BI65" s="30" t="s">
        <v>245</v>
      </c>
      <c r="BJ65" s="30" t="s">
        <v>245</v>
      </c>
      <c r="BK65" s="30" t="s">
        <v>245</v>
      </c>
      <c r="BL65" s="30" t="s">
        <v>245</v>
      </c>
      <c r="BM65" s="30" t="s">
        <v>245</v>
      </c>
      <c r="BN65" s="30" t="s">
        <v>245</v>
      </c>
      <c r="BO65" s="30" t="s">
        <v>245</v>
      </c>
      <c r="BP65" s="30" t="s">
        <v>245</v>
      </c>
      <c r="BQ65" s="30" t="s">
        <v>245</v>
      </c>
      <c r="BR65" s="30" t="s">
        <v>245</v>
      </c>
      <c r="BS65" s="30" t="s">
        <v>245</v>
      </c>
      <c r="BT65" s="30" t="s">
        <v>245</v>
      </c>
      <c r="BU65" s="30" t="s">
        <v>803</v>
      </c>
      <c r="BV65" s="30" t="str">
        <f>HYPERLINK("https%3A%2F%2Fwww.webofscience.com%2Fwos%2Fwoscc%2Ffull-record%2FWOS:000290969900019","View Full Record in Web of Science")</f>
        <v>View Full Record in Web of Science</v>
      </c>
    </row>
    <row r="66" spans="1:74" x14ac:dyDescent="0.2">
      <c r="A66" s="30" t="s">
        <v>243</v>
      </c>
      <c r="B66" s="30" t="s">
        <v>804</v>
      </c>
      <c r="C66" s="30" t="s">
        <v>245</v>
      </c>
      <c r="D66" s="30" t="s">
        <v>245</v>
      </c>
      <c r="E66" s="30" t="s">
        <v>245</v>
      </c>
      <c r="F66" s="30" t="s">
        <v>804</v>
      </c>
      <c r="G66" s="30" t="s">
        <v>245</v>
      </c>
      <c r="H66" s="30" t="s">
        <v>245</v>
      </c>
      <c r="I66" s="30" t="s">
        <v>2823</v>
      </c>
      <c r="K66" s="30" t="s">
        <v>805</v>
      </c>
      <c r="L66" s="30" t="s">
        <v>432</v>
      </c>
      <c r="M66" s="30" t="s">
        <v>245</v>
      </c>
      <c r="N66" s="30" t="s">
        <v>245</v>
      </c>
      <c r="O66" s="30" t="s">
        <v>245</v>
      </c>
      <c r="P66" s="30" t="s">
        <v>245</v>
      </c>
      <c r="Q66" s="30" t="s">
        <v>245</v>
      </c>
      <c r="R66" s="30" t="s">
        <v>245</v>
      </c>
      <c r="S66" s="30" t="s">
        <v>245</v>
      </c>
      <c r="T66" s="30" t="s">
        <v>245</v>
      </c>
      <c r="U66" s="30" t="s">
        <v>245</v>
      </c>
      <c r="V66" s="30" t="s">
        <v>245</v>
      </c>
      <c r="W66" s="30" t="s">
        <v>245</v>
      </c>
      <c r="X66" s="30" t="s">
        <v>245</v>
      </c>
      <c r="Y66" s="30" t="s">
        <v>245</v>
      </c>
      <c r="Z66" s="30" t="s">
        <v>245</v>
      </c>
      <c r="AA66" s="30" t="s">
        <v>245</v>
      </c>
      <c r="AB66" s="30" t="s">
        <v>245</v>
      </c>
      <c r="AC66" s="30" t="s">
        <v>806</v>
      </c>
      <c r="AD66" s="30" t="s">
        <v>807</v>
      </c>
      <c r="AE66" s="30" t="s">
        <v>245</v>
      </c>
      <c r="AF66" s="30" t="s">
        <v>245</v>
      </c>
      <c r="AG66" s="30" t="s">
        <v>245</v>
      </c>
      <c r="AH66" s="30" t="s">
        <v>245</v>
      </c>
      <c r="AI66" s="30" t="s">
        <v>245</v>
      </c>
      <c r="AJ66" s="30" t="s">
        <v>245</v>
      </c>
      <c r="AK66" s="30" t="s">
        <v>245</v>
      </c>
      <c r="AL66" s="30" t="s">
        <v>245</v>
      </c>
      <c r="AM66" s="30" t="s">
        <v>245</v>
      </c>
      <c r="AN66" s="30" t="s">
        <v>245</v>
      </c>
      <c r="AO66" s="30" t="s">
        <v>245</v>
      </c>
      <c r="AP66" s="30" t="s">
        <v>245</v>
      </c>
      <c r="AQ66" s="30" t="s">
        <v>433</v>
      </c>
      <c r="AR66" s="30" t="s">
        <v>245</v>
      </c>
      <c r="AS66" s="30" t="s">
        <v>245</v>
      </c>
      <c r="AT66" s="30" t="s">
        <v>245</v>
      </c>
      <c r="AU66" s="30" t="s">
        <v>245</v>
      </c>
      <c r="AV66" s="30" t="s">
        <v>454</v>
      </c>
      <c r="AW66" s="30">
        <v>1997</v>
      </c>
      <c r="AX66" s="30">
        <v>196</v>
      </c>
      <c r="AY66" s="30">
        <v>1</v>
      </c>
      <c r="AZ66" s="30" t="s">
        <v>245</v>
      </c>
      <c r="BA66" s="30" t="s">
        <v>245</v>
      </c>
      <c r="BB66" s="30" t="s">
        <v>245</v>
      </c>
      <c r="BC66" s="30" t="s">
        <v>245</v>
      </c>
      <c r="BD66" s="30">
        <v>7</v>
      </c>
      <c r="BE66" s="30">
        <v>14</v>
      </c>
      <c r="BF66" s="30" t="s">
        <v>245</v>
      </c>
      <c r="BG66" s="30" t="s">
        <v>808</v>
      </c>
      <c r="BH66" s="30" t="str">
        <f>HYPERLINK("http://dx.doi.org/10.1023/A:1004263405020","http://dx.doi.org/10.1023/A:1004263405020")</f>
        <v>http://dx.doi.org/10.1023/A:1004263405020</v>
      </c>
      <c r="BI66" s="30" t="s">
        <v>245</v>
      </c>
      <c r="BJ66" s="30" t="s">
        <v>245</v>
      </c>
      <c r="BK66" s="30" t="s">
        <v>245</v>
      </c>
      <c r="BL66" s="30" t="s">
        <v>245</v>
      </c>
      <c r="BM66" s="30" t="s">
        <v>245</v>
      </c>
      <c r="BN66" s="30" t="s">
        <v>245</v>
      </c>
      <c r="BO66" s="30" t="s">
        <v>245</v>
      </c>
      <c r="BP66" s="30" t="s">
        <v>245</v>
      </c>
      <c r="BQ66" s="30" t="s">
        <v>245</v>
      </c>
      <c r="BR66" s="30" t="s">
        <v>245</v>
      </c>
      <c r="BS66" s="30" t="s">
        <v>245</v>
      </c>
      <c r="BT66" s="30" t="s">
        <v>245</v>
      </c>
      <c r="BU66" s="30" t="s">
        <v>809</v>
      </c>
      <c r="BV66" s="30" t="str">
        <f>HYPERLINK("https%3A%2F%2Fwww.webofscience.com%2Fwos%2Fwoscc%2Ffull-record%2FWOS:A1997YL66500002","View Full Record in Web of Science")</f>
        <v>View Full Record in Web of Science</v>
      </c>
    </row>
    <row r="67" spans="1:74" x14ac:dyDescent="0.2">
      <c r="A67" s="30" t="s">
        <v>243</v>
      </c>
      <c r="B67" s="30" t="s">
        <v>810</v>
      </c>
      <c r="C67" s="30" t="s">
        <v>245</v>
      </c>
      <c r="D67" s="30" t="s">
        <v>245</v>
      </c>
      <c r="E67" s="30" t="s">
        <v>245</v>
      </c>
      <c r="F67" s="30" t="s">
        <v>810</v>
      </c>
      <c r="G67" s="30" t="s">
        <v>245</v>
      </c>
      <c r="H67" s="30" t="s">
        <v>245</v>
      </c>
      <c r="I67" s="30" t="s">
        <v>2821</v>
      </c>
      <c r="K67" s="30" t="s">
        <v>811</v>
      </c>
      <c r="L67" s="30" t="s">
        <v>641</v>
      </c>
      <c r="M67" s="30" t="s">
        <v>245</v>
      </c>
      <c r="N67" s="30" t="s">
        <v>245</v>
      </c>
      <c r="O67" s="30" t="s">
        <v>245</v>
      </c>
      <c r="P67" s="30" t="s">
        <v>245</v>
      </c>
      <c r="Q67" s="30" t="s">
        <v>245</v>
      </c>
      <c r="R67" s="30" t="s">
        <v>245</v>
      </c>
      <c r="S67" s="30" t="s">
        <v>245</v>
      </c>
      <c r="T67" s="30" t="s">
        <v>245</v>
      </c>
      <c r="U67" s="30" t="s">
        <v>245</v>
      </c>
      <c r="V67" s="30" t="s">
        <v>245</v>
      </c>
      <c r="W67" s="30" t="s">
        <v>245</v>
      </c>
      <c r="X67" s="30" t="s">
        <v>245</v>
      </c>
      <c r="Y67" s="30" t="s">
        <v>245</v>
      </c>
      <c r="Z67" s="30" t="s">
        <v>245</v>
      </c>
      <c r="AA67" s="30" t="s">
        <v>245</v>
      </c>
      <c r="AB67" s="30" t="s">
        <v>245</v>
      </c>
      <c r="AC67" s="30" t="s">
        <v>812</v>
      </c>
      <c r="AD67" s="30" t="s">
        <v>813</v>
      </c>
      <c r="AE67" s="30" t="s">
        <v>245</v>
      </c>
      <c r="AF67" s="30" t="s">
        <v>245</v>
      </c>
      <c r="AG67" s="30" t="s">
        <v>245</v>
      </c>
      <c r="AH67" s="30" t="s">
        <v>245</v>
      </c>
      <c r="AI67" s="30" t="s">
        <v>245</v>
      </c>
      <c r="AJ67" s="30" t="s">
        <v>245</v>
      </c>
      <c r="AK67" s="30" t="s">
        <v>245</v>
      </c>
      <c r="AL67" s="30" t="s">
        <v>245</v>
      </c>
      <c r="AM67" s="30" t="s">
        <v>245</v>
      </c>
      <c r="AN67" s="30" t="s">
        <v>245</v>
      </c>
      <c r="AO67" s="30" t="s">
        <v>245</v>
      </c>
      <c r="AP67" s="30" t="s">
        <v>245</v>
      </c>
      <c r="AQ67" s="30" t="s">
        <v>644</v>
      </c>
      <c r="AR67" s="30" t="s">
        <v>645</v>
      </c>
      <c r="AS67" s="30" t="s">
        <v>245</v>
      </c>
      <c r="AT67" s="30" t="s">
        <v>245</v>
      </c>
      <c r="AU67" s="30" t="s">
        <v>245</v>
      </c>
      <c r="AV67" s="30" t="s">
        <v>814</v>
      </c>
      <c r="AW67" s="30">
        <v>1996</v>
      </c>
      <c r="AX67" s="30">
        <v>25</v>
      </c>
      <c r="AY67" s="30">
        <v>4</v>
      </c>
      <c r="AZ67" s="30" t="s">
        <v>245</v>
      </c>
      <c r="BA67" s="30" t="s">
        <v>245</v>
      </c>
      <c r="BB67" s="30" t="s">
        <v>245</v>
      </c>
      <c r="BC67" s="30" t="s">
        <v>245</v>
      </c>
      <c r="BD67" s="30">
        <v>898</v>
      </c>
      <c r="BE67" s="30">
        <v>907</v>
      </c>
      <c r="BF67" s="30" t="s">
        <v>245</v>
      </c>
      <c r="BG67" s="30" t="s">
        <v>815</v>
      </c>
      <c r="BH67" s="30" t="str">
        <f>HYPERLINK("http://dx.doi.org/10.2134/jeq1996.00472425002500040035x","http://dx.doi.org/10.2134/jeq1996.00472425002500040035x")</f>
        <v>http://dx.doi.org/10.2134/jeq1996.00472425002500040035x</v>
      </c>
      <c r="BI67" s="30" t="s">
        <v>245</v>
      </c>
      <c r="BJ67" s="30" t="s">
        <v>245</v>
      </c>
      <c r="BK67" s="30" t="s">
        <v>245</v>
      </c>
      <c r="BL67" s="30" t="s">
        <v>245</v>
      </c>
      <c r="BM67" s="30" t="s">
        <v>245</v>
      </c>
      <c r="BN67" s="30" t="s">
        <v>245</v>
      </c>
      <c r="BO67" s="30" t="s">
        <v>245</v>
      </c>
      <c r="BP67" s="30" t="s">
        <v>245</v>
      </c>
      <c r="BQ67" s="30" t="s">
        <v>245</v>
      </c>
      <c r="BR67" s="30" t="s">
        <v>245</v>
      </c>
      <c r="BS67" s="30" t="s">
        <v>245</v>
      </c>
      <c r="BT67" s="30" t="s">
        <v>245</v>
      </c>
      <c r="BU67" s="30" t="s">
        <v>816</v>
      </c>
      <c r="BV67" s="30" t="str">
        <f>HYPERLINK("https%3A%2F%2Fwww.webofscience.com%2Fwos%2Fwoscc%2Ffull-record%2FWOS:A1996UX56900061","View Full Record in Web of Science")</f>
        <v>View Full Record in Web of Science</v>
      </c>
    </row>
    <row r="68" spans="1:74" x14ac:dyDescent="0.2">
      <c r="A68" s="30" t="s">
        <v>243</v>
      </c>
      <c r="B68" s="30" t="s">
        <v>817</v>
      </c>
      <c r="C68" s="30" t="s">
        <v>245</v>
      </c>
      <c r="D68" s="30" t="s">
        <v>245</v>
      </c>
      <c r="E68" s="30" t="s">
        <v>245</v>
      </c>
      <c r="F68" s="30" t="s">
        <v>818</v>
      </c>
      <c r="G68" s="30" t="s">
        <v>245</v>
      </c>
      <c r="H68" s="30" t="s">
        <v>245</v>
      </c>
      <c r="I68" s="30" t="s">
        <v>2822</v>
      </c>
      <c r="K68" s="30" t="s">
        <v>819</v>
      </c>
      <c r="L68" s="30" t="s">
        <v>758</v>
      </c>
      <c r="M68" s="30" t="s">
        <v>245</v>
      </c>
      <c r="N68" s="30" t="s">
        <v>245</v>
      </c>
      <c r="O68" s="30" t="s">
        <v>245</v>
      </c>
      <c r="P68" s="30" t="s">
        <v>245</v>
      </c>
      <c r="Q68" s="30" t="s">
        <v>245</v>
      </c>
      <c r="R68" s="30" t="s">
        <v>245</v>
      </c>
      <c r="S68" s="30" t="s">
        <v>245</v>
      </c>
      <c r="T68" s="30" t="s">
        <v>245</v>
      </c>
      <c r="U68" s="30" t="s">
        <v>245</v>
      </c>
      <c r="V68" s="30" t="s">
        <v>245</v>
      </c>
      <c r="W68" s="30" t="s">
        <v>245</v>
      </c>
      <c r="X68" s="30" t="s">
        <v>245</v>
      </c>
      <c r="Y68" s="30" t="s">
        <v>245</v>
      </c>
      <c r="Z68" s="30" t="s">
        <v>245</v>
      </c>
      <c r="AA68" s="30" t="s">
        <v>245</v>
      </c>
      <c r="AB68" s="30" t="s">
        <v>245</v>
      </c>
      <c r="AC68" s="30" t="s">
        <v>820</v>
      </c>
      <c r="AD68" s="30" t="s">
        <v>821</v>
      </c>
      <c r="AE68" s="30" t="s">
        <v>245</v>
      </c>
      <c r="AF68" s="30" t="s">
        <v>245</v>
      </c>
      <c r="AG68" s="30" t="s">
        <v>245</v>
      </c>
      <c r="AH68" s="30" t="s">
        <v>245</v>
      </c>
      <c r="AI68" s="30" t="s">
        <v>245</v>
      </c>
      <c r="AJ68" s="30" t="s">
        <v>245</v>
      </c>
      <c r="AK68" s="30" t="s">
        <v>245</v>
      </c>
      <c r="AL68" s="30" t="s">
        <v>245</v>
      </c>
      <c r="AM68" s="30" t="s">
        <v>245</v>
      </c>
      <c r="AN68" s="30" t="s">
        <v>245</v>
      </c>
      <c r="AO68" s="30" t="s">
        <v>245</v>
      </c>
      <c r="AP68" s="30" t="s">
        <v>245</v>
      </c>
      <c r="AQ68" s="30" t="s">
        <v>759</v>
      </c>
      <c r="AR68" s="30" t="s">
        <v>822</v>
      </c>
      <c r="AS68" s="30" t="s">
        <v>245</v>
      </c>
      <c r="AT68" s="30" t="s">
        <v>245</v>
      </c>
      <c r="AU68" s="30" t="s">
        <v>245</v>
      </c>
      <c r="AV68" s="30" t="s">
        <v>354</v>
      </c>
      <c r="AW68" s="30">
        <v>2025</v>
      </c>
      <c r="AX68" s="30">
        <v>61</v>
      </c>
      <c r="AY68" s="30">
        <v>3</v>
      </c>
      <c r="AZ68" s="30" t="s">
        <v>245</v>
      </c>
      <c r="BA68" s="30" t="s">
        <v>245</v>
      </c>
      <c r="BB68" s="30" t="s">
        <v>298</v>
      </c>
      <c r="BC68" s="30" t="s">
        <v>245</v>
      </c>
      <c r="BD68" s="30">
        <v>559</v>
      </c>
      <c r="BE68" s="30">
        <v>573</v>
      </c>
      <c r="BF68" s="30" t="s">
        <v>245</v>
      </c>
      <c r="BG68" s="30" t="s">
        <v>823</v>
      </c>
      <c r="BH68" s="30" t="str">
        <f>HYPERLINK("http://dx.doi.org/10.1007/s00374-023-01783-9","http://dx.doi.org/10.1007/s00374-023-01783-9")</f>
        <v>http://dx.doi.org/10.1007/s00374-023-01783-9</v>
      </c>
      <c r="BI68" s="30" t="s">
        <v>245</v>
      </c>
      <c r="BJ68" s="30" t="s">
        <v>824</v>
      </c>
      <c r="BK68" s="30" t="s">
        <v>245</v>
      </c>
      <c r="BL68" s="30" t="s">
        <v>245</v>
      </c>
      <c r="BM68" s="30" t="s">
        <v>245</v>
      </c>
      <c r="BN68" s="30" t="s">
        <v>245</v>
      </c>
      <c r="BO68" s="30" t="s">
        <v>245</v>
      </c>
      <c r="BP68" s="30" t="s">
        <v>245</v>
      </c>
      <c r="BQ68" s="30" t="s">
        <v>245</v>
      </c>
      <c r="BR68" s="30" t="s">
        <v>245</v>
      </c>
      <c r="BS68" s="30" t="s">
        <v>245</v>
      </c>
      <c r="BT68" s="30" t="s">
        <v>245</v>
      </c>
      <c r="BU68" s="30" t="s">
        <v>825</v>
      </c>
      <c r="BV68" s="30" t="str">
        <f>HYPERLINK("https%3A%2F%2Fwww.webofscience.com%2Fwos%2Fwoscc%2Ffull-record%2FWOS:001137707800001","View Full Record in Web of Science")</f>
        <v>View Full Record in Web of Science</v>
      </c>
    </row>
    <row r="69" spans="1:74" x14ac:dyDescent="0.2">
      <c r="A69" s="30" t="s">
        <v>243</v>
      </c>
      <c r="B69" s="30" t="s">
        <v>826</v>
      </c>
      <c r="C69" s="30" t="s">
        <v>245</v>
      </c>
      <c r="D69" s="30" t="s">
        <v>245</v>
      </c>
      <c r="E69" s="30" t="s">
        <v>245</v>
      </c>
      <c r="F69" s="30" t="s">
        <v>826</v>
      </c>
      <c r="G69" s="30" t="s">
        <v>245</v>
      </c>
      <c r="H69" s="30" t="s">
        <v>245</v>
      </c>
      <c r="I69" s="30" t="s">
        <v>2823</v>
      </c>
      <c r="K69" s="30" t="s">
        <v>827</v>
      </c>
      <c r="L69" s="30" t="s">
        <v>282</v>
      </c>
      <c r="M69" s="30" t="s">
        <v>245</v>
      </c>
      <c r="N69" s="30" t="s">
        <v>245</v>
      </c>
      <c r="O69" s="30" t="s">
        <v>245</v>
      </c>
      <c r="P69" s="30" t="s">
        <v>245</v>
      </c>
      <c r="Q69" s="30" t="s">
        <v>245</v>
      </c>
      <c r="R69" s="30" t="s">
        <v>245</v>
      </c>
      <c r="S69" s="30" t="s">
        <v>245</v>
      </c>
      <c r="T69" s="30" t="s">
        <v>245</v>
      </c>
      <c r="U69" s="30" t="s">
        <v>245</v>
      </c>
      <c r="V69" s="30" t="s">
        <v>245</v>
      </c>
      <c r="W69" s="30" t="s">
        <v>245</v>
      </c>
      <c r="X69" s="30" t="s">
        <v>245</v>
      </c>
      <c r="Y69" s="30" t="s">
        <v>245</v>
      </c>
      <c r="Z69" s="30" t="s">
        <v>245</v>
      </c>
      <c r="AA69" s="30" t="s">
        <v>245</v>
      </c>
      <c r="AB69" s="30" t="s">
        <v>245</v>
      </c>
      <c r="AC69" s="30" t="s">
        <v>828</v>
      </c>
      <c r="AD69" s="30" t="s">
        <v>829</v>
      </c>
      <c r="AE69" s="30" t="s">
        <v>245</v>
      </c>
      <c r="AF69" s="30" t="s">
        <v>245</v>
      </c>
      <c r="AG69" s="30" t="s">
        <v>245</v>
      </c>
      <c r="AH69" s="30" t="s">
        <v>245</v>
      </c>
      <c r="AI69" s="30" t="s">
        <v>245</v>
      </c>
      <c r="AJ69" s="30" t="s">
        <v>245</v>
      </c>
      <c r="AK69" s="30" t="s">
        <v>245</v>
      </c>
      <c r="AL69" s="30" t="s">
        <v>245</v>
      </c>
      <c r="AM69" s="30" t="s">
        <v>245</v>
      </c>
      <c r="AN69" s="30" t="s">
        <v>245</v>
      </c>
      <c r="AO69" s="30" t="s">
        <v>245</v>
      </c>
      <c r="AP69" s="30" t="s">
        <v>245</v>
      </c>
      <c r="AQ69" s="30" t="s">
        <v>285</v>
      </c>
      <c r="AR69" s="30" t="s">
        <v>370</v>
      </c>
      <c r="AS69" s="30" t="s">
        <v>245</v>
      </c>
      <c r="AT69" s="30" t="s">
        <v>245</v>
      </c>
      <c r="AU69" s="30" t="s">
        <v>245</v>
      </c>
      <c r="AV69" s="30" t="s">
        <v>245</v>
      </c>
      <c r="AW69" s="30">
        <v>1983</v>
      </c>
      <c r="AX69" s="30">
        <v>15</v>
      </c>
      <c r="AY69" s="30">
        <v>6</v>
      </c>
      <c r="AZ69" s="30" t="s">
        <v>245</v>
      </c>
      <c r="BA69" s="30" t="s">
        <v>245</v>
      </c>
      <c r="BB69" s="30" t="s">
        <v>245</v>
      </c>
      <c r="BC69" s="30" t="s">
        <v>245</v>
      </c>
      <c r="BD69" s="30">
        <v>693</v>
      </c>
      <c r="BE69" s="30">
        <v>697</v>
      </c>
      <c r="BF69" s="30" t="s">
        <v>245</v>
      </c>
      <c r="BG69" s="30" t="s">
        <v>830</v>
      </c>
      <c r="BH69" s="30" t="str">
        <f>HYPERLINK("http://dx.doi.org/10.1016/0038-0717(83)90034-2","http://dx.doi.org/10.1016/0038-0717(83)90034-2")</f>
        <v>http://dx.doi.org/10.1016/0038-0717(83)90034-2</v>
      </c>
      <c r="BI69" s="30" t="s">
        <v>245</v>
      </c>
      <c r="BJ69" s="30" t="s">
        <v>245</v>
      </c>
      <c r="BK69" s="30" t="s">
        <v>245</v>
      </c>
      <c r="BL69" s="30" t="s">
        <v>245</v>
      </c>
      <c r="BM69" s="30" t="s">
        <v>245</v>
      </c>
      <c r="BN69" s="30" t="s">
        <v>245</v>
      </c>
      <c r="BO69" s="30" t="s">
        <v>245</v>
      </c>
      <c r="BP69" s="30" t="s">
        <v>245</v>
      </c>
      <c r="BQ69" s="30" t="s">
        <v>245</v>
      </c>
      <c r="BR69" s="30" t="s">
        <v>245</v>
      </c>
      <c r="BS69" s="30" t="s">
        <v>245</v>
      </c>
      <c r="BT69" s="30" t="s">
        <v>245</v>
      </c>
      <c r="BU69" s="30" t="s">
        <v>831</v>
      </c>
      <c r="BV69" s="30" t="str">
        <f>HYPERLINK("https%3A%2F%2Fwww.webofscience.com%2Fwos%2Fwoscc%2Ffull-record%2FWOS:A1983RV57000010","View Full Record in Web of Science")</f>
        <v>View Full Record in Web of Science</v>
      </c>
    </row>
    <row r="70" spans="1:74" x14ac:dyDescent="0.2">
      <c r="A70" s="30" t="s">
        <v>243</v>
      </c>
      <c r="B70" s="30" t="s">
        <v>832</v>
      </c>
      <c r="C70" s="30" t="s">
        <v>245</v>
      </c>
      <c r="D70" s="30" t="s">
        <v>245</v>
      </c>
      <c r="E70" s="30" t="s">
        <v>245</v>
      </c>
      <c r="F70" s="30" t="s">
        <v>833</v>
      </c>
      <c r="G70" s="30" t="s">
        <v>245</v>
      </c>
      <c r="H70" s="30" t="s">
        <v>245</v>
      </c>
      <c r="I70" s="30" t="s">
        <v>2829</v>
      </c>
      <c r="K70" s="30" t="s">
        <v>834</v>
      </c>
      <c r="L70" s="30" t="s">
        <v>292</v>
      </c>
      <c r="M70" s="30" t="s">
        <v>245</v>
      </c>
      <c r="N70" s="30" t="s">
        <v>245</v>
      </c>
      <c r="O70" s="30" t="s">
        <v>245</v>
      </c>
      <c r="P70" s="30" t="s">
        <v>245</v>
      </c>
      <c r="Q70" s="30" t="s">
        <v>245</v>
      </c>
      <c r="R70" s="30" t="s">
        <v>245</v>
      </c>
      <c r="S70" s="30" t="s">
        <v>245</v>
      </c>
      <c r="T70" s="30" t="s">
        <v>245</v>
      </c>
      <c r="U70" s="30" t="s">
        <v>245</v>
      </c>
      <c r="V70" s="30" t="s">
        <v>245</v>
      </c>
      <c r="W70" s="30" t="s">
        <v>245</v>
      </c>
      <c r="X70" s="30" t="s">
        <v>245</v>
      </c>
      <c r="Y70" s="30" t="s">
        <v>245</v>
      </c>
      <c r="Z70" s="30" t="s">
        <v>245</v>
      </c>
      <c r="AA70" s="30" t="s">
        <v>245</v>
      </c>
      <c r="AB70" s="30" t="s">
        <v>245</v>
      </c>
      <c r="AC70" s="30" t="s">
        <v>835</v>
      </c>
      <c r="AD70" s="30" t="s">
        <v>836</v>
      </c>
      <c r="AE70" s="30" t="s">
        <v>245</v>
      </c>
      <c r="AF70" s="30" t="s">
        <v>245</v>
      </c>
      <c r="AG70" s="30" t="s">
        <v>245</v>
      </c>
      <c r="AH70" s="30" t="s">
        <v>245</v>
      </c>
      <c r="AI70" s="30" t="s">
        <v>245</v>
      </c>
      <c r="AJ70" s="30" t="s">
        <v>245</v>
      </c>
      <c r="AK70" s="30" t="s">
        <v>245</v>
      </c>
      <c r="AL70" s="30" t="s">
        <v>245</v>
      </c>
      <c r="AM70" s="30" t="s">
        <v>245</v>
      </c>
      <c r="AN70" s="30" t="s">
        <v>245</v>
      </c>
      <c r="AO70" s="30" t="s">
        <v>245</v>
      </c>
      <c r="AP70" s="30" t="s">
        <v>245</v>
      </c>
      <c r="AQ70" s="30" t="s">
        <v>295</v>
      </c>
      <c r="AR70" s="30" t="s">
        <v>245</v>
      </c>
      <c r="AS70" s="30" t="s">
        <v>245</v>
      </c>
      <c r="AT70" s="30" t="s">
        <v>245</v>
      </c>
      <c r="AU70" s="30" t="s">
        <v>245</v>
      </c>
      <c r="AV70" s="30" t="s">
        <v>354</v>
      </c>
      <c r="AW70" s="30">
        <v>2011</v>
      </c>
      <c r="AX70" s="30">
        <v>21</v>
      </c>
      <c r="AY70" s="30">
        <v>2</v>
      </c>
      <c r="AZ70" s="30" t="s">
        <v>245</v>
      </c>
      <c r="BA70" s="30" t="s">
        <v>245</v>
      </c>
      <c r="BB70" s="30" t="s">
        <v>245</v>
      </c>
      <c r="BC70" s="30" t="s">
        <v>245</v>
      </c>
      <c r="BD70" s="30">
        <v>197</v>
      </c>
      <c r="BE70" s="30">
        <v>206</v>
      </c>
      <c r="BF70" s="30" t="s">
        <v>245</v>
      </c>
      <c r="BG70" s="30" t="s">
        <v>837</v>
      </c>
      <c r="BH70" s="30" t="str">
        <f>HYPERLINK("http://dx.doi.org/10.1016/S1002-0160(11)60118-5","http://dx.doi.org/10.1016/S1002-0160(11)60118-5")</f>
        <v>http://dx.doi.org/10.1016/S1002-0160(11)60118-5</v>
      </c>
      <c r="BI70" s="30" t="s">
        <v>245</v>
      </c>
      <c r="BJ70" s="30" t="s">
        <v>245</v>
      </c>
      <c r="BK70" s="30" t="s">
        <v>245</v>
      </c>
      <c r="BL70" s="30" t="s">
        <v>245</v>
      </c>
      <c r="BM70" s="30" t="s">
        <v>245</v>
      </c>
      <c r="BN70" s="30" t="s">
        <v>245</v>
      </c>
      <c r="BO70" s="30" t="s">
        <v>245</v>
      </c>
      <c r="BP70" s="30" t="s">
        <v>245</v>
      </c>
      <c r="BQ70" s="30" t="s">
        <v>245</v>
      </c>
      <c r="BR70" s="30" t="s">
        <v>245</v>
      </c>
      <c r="BS70" s="30" t="s">
        <v>245</v>
      </c>
      <c r="BT70" s="30" t="s">
        <v>245</v>
      </c>
      <c r="BU70" s="30" t="s">
        <v>838</v>
      </c>
      <c r="BV70" s="30" t="str">
        <f>HYPERLINK("https%3A%2F%2Fwww.webofscience.com%2Fwos%2Fwoscc%2Ffull-record%2FWOS:000288777700008","View Full Record in Web of Science")</f>
        <v>View Full Record in Web of Science</v>
      </c>
    </row>
    <row r="71" spans="1:74" x14ac:dyDescent="0.2">
      <c r="A71" s="30" t="s">
        <v>243</v>
      </c>
      <c r="B71" s="30" t="s">
        <v>839</v>
      </c>
      <c r="C71" s="30" t="s">
        <v>245</v>
      </c>
      <c r="D71" s="30" t="s">
        <v>245</v>
      </c>
      <c r="E71" s="30" t="s">
        <v>245</v>
      </c>
      <c r="F71" s="30" t="s">
        <v>839</v>
      </c>
      <c r="G71" s="30" t="s">
        <v>245</v>
      </c>
      <c r="H71" s="30" t="s">
        <v>245</v>
      </c>
      <c r="I71" s="30" t="s">
        <v>2823</v>
      </c>
      <c r="K71" s="30" t="s">
        <v>840</v>
      </c>
      <c r="L71" s="30" t="s">
        <v>493</v>
      </c>
      <c r="M71" s="30" t="s">
        <v>245</v>
      </c>
      <c r="N71" s="30" t="s">
        <v>245</v>
      </c>
      <c r="O71" s="30" t="s">
        <v>245</v>
      </c>
      <c r="P71" s="30" t="s">
        <v>245</v>
      </c>
      <c r="Q71" s="30" t="s">
        <v>245</v>
      </c>
      <c r="R71" s="30" t="s">
        <v>245</v>
      </c>
      <c r="S71" s="30" t="s">
        <v>245</v>
      </c>
      <c r="T71" s="30" t="s">
        <v>245</v>
      </c>
      <c r="U71" s="30" t="s">
        <v>245</v>
      </c>
      <c r="V71" s="30" t="s">
        <v>245</v>
      </c>
      <c r="W71" s="30" t="s">
        <v>245</v>
      </c>
      <c r="X71" s="30" t="s">
        <v>245</v>
      </c>
      <c r="Y71" s="30" t="s">
        <v>245</v>
      </c>
      <c r="Z71" s="30" t="s">
        <v>245</v>
      </c>
      <c r="AA71" s="30" t="s">
        <v>245</v>
      </c>
      <c r="AB71" s="30" t="s">
        <v>245</v>
      </c>
      <c r="AC71" s="30" t="s">
        <v>245</v>
      </c>
      <c r="AD71" s="30" t="s">
        <v>245</v>
      </c>
      <c r="AE71" s="30" t="s">
        <v>245</v>
      </c>
      <c r="AF71" s="30" t="s">
        <v>245</v>
      </c>
      <c r="AG71" s="30" t="s">
        <v>245</v>
      </c>
      <c r="AH71" s="30" t="s">
        <v>245</v>
      </c>
      <c r="AI71" s="30" t="s">
        <v>245</v>
      </c>
      <c r="AJ71" s="30" t="s">
        <v>245</v>
      </c>
      <c r="AK71" s="30" t="s">
        <v>245</v>
      </c>
      <c r="AL71" s="30" t="s">
        <v>245</v>
      </c>
      <c r="AM71" s="30" t="s">
        <v>245</v>
      </c>
      <c r="AN71" s="30" t="s">
        <v>245</v>
      </c>
      <c r="AO71" s="30" t="s">
        <v>245</v>
      </c>
      <c r="AP71" s="30" t="s">
        <v>245</v>
      </c>
      <c r="AQ71" s="30" t="s">
        <v>494</v>
      </c>
      <c r="AR71" s="30" t="s">
        <v>245</v>
      </c>
      <c r="AS71" s="30" t="s">
        <v>245</v>
      </c>
      <c r="AT71" s="30" t="s">
        <v>245</v>
      </c>
      <c r="AU71" s="30" t="s">
        <v>245</v>
      </c>
      <c r="AV71" s="30" t="s">
        <v>841</v>
      </c>
      <c r="AW71" s="30">
        <v>1997</v>
      </c>
      <c r="AX71" s="30">
        <v>61</v>
      </c>
      <c r="AY71" s="30">
        <v>3</v>
      </c>
      <c r="AZ71" s="30" t="s">
        <v>245</v>
      </c>
      <c r="BA71" s="30" t="s">
        <v>245</v>
      </c>
      <c r="BB71" s="30" t="s">
        <v>245</v>
      </c>
      <c r="BC71" s="30" t="s">
        <v>245</v>
      </c>
      <c r="BD71" s="30">
        <v>981</v>
      </c>
      <c r="BE71" s="30">
        <v>987</v>
      </c>
      <c r="BF71" s="30" t="s">
        <v>245</v>
      </c>
      <c r="BG71" s="30" t="s">
        <v>842</v>
      </c>
      <c r="BH71" s="30" t="str">
        <f>HYPERLINK("http://dx.doi.org/10.2136/sssaj1997.03615995006100030038x","http://dx.doi.org/10.2136/sssaj1997.03615995006100030038x")</f>
        <v>http://dx.doi.org/10.2136/sssaj1997.03615995006100030038x</v>
      </c>
      <c r="BI71" s="30" t="s">
        <v>245</v>
      </c>
      <c r="BJ71" s="30" t="s">
        <v>245</v>
      </c>
      <c r="BK71" s="30" t="s">
        <v>245</v>
      </c>
      <c r="BL71" s="30" t="s">
        <v>245</v>
      </c>
      <c r="BM71" s="30" t="s">
        <v>245</v>
      </c>
      <c r="BN71" s="30" t="s">
        <v>245</v>
      </c>
      <c r="BO71" s="30" t="s">
        <v>245</v>
      </c>
      <c r="BP71" s="30" t="s">
        <v>245</v>
      </c>
      <c r="BQ71" s="30" t="s">
        <v>245</v>
      </c>
      <c r="BR71" s="30" t="s">
        <v>245</v>
      </c>
      <c r="BS71" s="30" t="s">
        <v>245</v>
      </c>
      <c r="BT71" s="30" t="s">
        <v>245</v>
      </c>
      <c r="BU71" s="30" t="s">
        <v>843</v>
      </c>
      <c r="BV71" s="30" t="str">
        <f>HYPERLINK("https%3A%2F%2Fwww.webofscience.com%2Fwos%2Fwoscc%2Ffull-record%2FWOS:A1997XC99600038","View Full Record in Web of Science")</f>
        <v>View Full Record in Web of Science</v>
      </c>
    </row>
    <row r="72" spans="1:74" x14ac:dyDescent="0.2">
      <c r="A72" s="30" t="s">
        <v>243</v>
      </c>
      <c r="B72" s="30" t="s">
        <v>844</v>
      </c>
      <c r="C72" s="30" t="s">
        <v>245</v>
      </c>
      <c r="D72" s="30" t="s">
        <v>245</v>
      </c>
      <c r="E72" s="30" t="s">
        <v>245</v>
      </c>
      <c r="F72" s="30" t="s">
        <v>845</v>
      </c>
      <c r="G72" s="30" t="s">
        <v>245</v>
      </c>
      <c r="H72" s="30" t="s">
        <v>245</v>
      </c>
      <c r="I72" s="30" t="s">
        <v>2821</v>
      </c>
      <c r="K72" s="30" t="s">
        <v>846</v>
      </c>
      <c r="L72" s="30" t="s">
        <v>304</v>
      </c>
      <c r="M72" s="30" t="s">
        <v>245</v>
      </c>
      <c r="N72" s="30" t="s">
        <v>245</v>
      </c>
      <c r="O72" s="30" t="s">
        <v>245</v>
      </c>
      <c r="P72" s="30" t="s">
        <v>245</v>
      </c>
      <c r="Q72" s="30" t="s">
        <v>245</v>
      </c>
      <c r="R72" s="30" t="s">
        <v>245</v>
      </c>
      <c r="S72" s="30" t="s">
        <v>245</v>
      </c>
      <c r="T72" s="30" t="s">
        <v>245</v>
      </c>
      <c r="U72" s="30" t="s">
        <v>245</v>
      </c>
      <c r="V72" s="30" t="s">
        <v>245</v>
      </c>
      <c r="W72" s="30" t="s">
        <v>245</v>
      </c>
      <c r="X72" s="30" t="s">
        <v>245</v>
      </c>
      <c r="Y72" s="30" t="s">
        <v>245</v>
      </c>
      <c r="Z72" s="30" t="s">
        <v>245</v>
      </c>
      <c r="AA72" s="30" t="s">
        <v>245</v>
      </c>
      <c r="AB72" s="30" t="s">
        <v>245</v>
      </c>
      <c r="AC72" s="30" t="s">
        <v>847</v>
      </c>
      <c r="AD72" s="30" t="s">
        <v>848</v>
      </c>
      <c r="AE72" s="30" t="s">
        <v>245</v>
      </c>
      <c r="AF72" s="30" t="s">
        <v>245</v>
      </c>
      <c r="AG72" s="30" t="s">
        <v>245</v>
      </c>
      <c r="AH72" s="30" t="s">
        <v>245</v>
      </c>
      <c r="AI72" s="30" t="s">
        <v>245</v>
      </c>
      <c r="AJ72" s="30" t="s">
        <v>245</v>
      </c>
      <c r="AK72" s="30" t="s">
        <v>245</v>
      </c>
      <c r="AL72" s="30" t="s">
        <v>245</v>
      </c>
      <c r="AM72" s="30" t="s">
        <v>245</v>
      </c>
      <c r="AN72" s="30" t="s">
        <v>245</v>
      </c>
      <c r="AO72" s="30" t="s">
        <v>245</v>
      </c>
      <c r="AP72" s="30" t="s">
        <v>245</v>
      </c>
      <c r="AQ72" s="30" t="s">
        <v>307</v>
      </c>
      <c r="AR72" s="30" t="s">
        <v>245</v>
      </c>
      <c r="AS72" s="30" t="s">
        <v>245</v>
      </c>
      <c r="AT72" s="30" t="s">
        <v>245</v>
      </c>
      <c r="AU72" s="30" t="s">
        <v>245</v>
      </c>
      <c r="AV72" s="30" t="s">
        <v>535</v>
      </c>
      <c r="AW72" s="30">
        <v>2008</v>
      </c>
      <c r="AX72" s="30">
        <v>54</v>
      </c>
      <c r="AY72" s="30">
        <v>4</v>
      </c>
      <c r="AZ72" s="30" t="s">
        <v>245</v>
      </c>
      <c r="BA72" s="30" t="s">
        <v>245</v>
      </c>
      <c r="BB72" s="30" t="s">
        <v>245</v>
      </c>
      <c r="BC72" s="30" t="s">
        <v>245</v>
      </c>
      <c r="BD72" s="30">
        <v>606</v>
      </c>
      <c r="BE72" s="30">
        <v>617</v>
      </c>
      <c r="BF72" s="30" t="s">
        <v>245</v>
      </c>
      <c r="BG72" s="30" t="s">
        <v>849</v>
      </c>
      <c r="BH72" s="30" t="str">
        <f>HYPERLINK("http://dx.doi.org/10.1111/j.1747-0765.2008.00270.x","http://dx.doi.org/10.1111/j.1747-0765.2008.00270.x")</f>
        <v>http://dx.doi.org/10.1111/j.1747-0765.2008.00270.x</v>
      </c>
      <c r="BI72" s="30" t="s">
        <v>245</v>
      </c>
      <c r="BJ72" s="30" t="s">
        <v>245</v>
      </c>
      <c r="BK72" s="30" t="s">
        <v>245</v>
      </c>
      <c r="BL72" s="30" t="s">
        <v>245</v>
      </c>
      <c r="BM72" s="30" t="s">
        <v>245</v>
      </c>
      <c r="BN72" s="30" t="s">
        <v>245</v>
      </c>
      <c r="BO72" s="30" t="s">
        <v>245</v>
      </c>
      <c r="BP72" s="30" t="s">
        <v>245</v>
      </c>
      <c r="BQ72" s="30" t="s">
        <v>245</v>
      </c>
      <c r="BR72" s="30" t="s">
        <v>245</v>
      </c>
      <c r="BS72" s="30" t="s">
        <v>245</v>
      </c>
      <c r="BT72" s="30" t="s">
        <v>245</v>
      </c>
      <c r="BU72" s="30" t="s">
        <v>850</v>
      </c>
      <c r="BV72" s="30" t="str">
        <f>HYPERLINK("https%3A%2F%2Fwww.webofscience.com%2Fwos%2Fwoscc%2Ffull-record%2FWOS:000258430400015","View Full Record in Web of Science")</f>
        <v>View Full Record in Web of Science</v>
      </c>
    </row>
    <row r="73" spans="1:74" x14ac:dyDescent="0.2">
      <c r="A73" s="30" t="s">
        <v>851</v>
      </c>
      <c r="B73" s="30" t="s">
        <v>852</v>
      </c>
      <c r="C73" s="30" t="s">
        <v>245</v>
      </c>
      <c r="D73" s="30" t="s">
        <v>853</v>
      </c>
      <c r="E73" s="30" t="s">
        <v>245</v>
      </c>
      <c r="F73" s="30" t="s">
        <v>852</v>
      </c>
      <c r="G73" s="30" t="s">
        <v>245</v>
      </c>
      <c r="H73" s="30" t="s">
        <v>245</v>
      </c>
      <c r="I73" s="30" t="s">
        <v>2823</v>
      </c>
      <c r="K73" s="30" t="s">
        <v>854</v>
      </c>
      <c r="L73" s="30" t="s">
        <v>855</v>
      </c>
      <c r="M73" s="30" t="s">
        <v>245</v>
      </c>
      <c r="N73" s="30" t="s">
        <v>245</v>
      </c>
      <c r="O73" s="30" t="s">
        <v>245</v>
      </c>
      <c r="P73" s="30" t="s">
        <v>245</v>
      </c>
      <c r="Q73" s="30" t="s">
        <v>856</v>
      </c>
      <c r="R73" s="30" t="s">
        <v>857</v>
      </c>
      <c r="S73" s="30" t="s">
        <v>858</v>
      </c>
      <c r="T73" s="30" t="s">
        <v>859</v>
      </c>
      <c r="U73" s="30" t="s">
        <v>245</v>
      </c>
      <c r="V73" s="30" t="s">
        <v>245</v>
      </c>
      <c r="W73" s="30" t="s">
        <v>245</v>
      </c>
      <c r="X73" s="30" t="s">
        <v>245</v>
      </c>
      <c r="Y73" s="30" t="s">
        <v>245</v>
      </c>
      <c r="Z73" s="30" t="s">
        <v>245</v>
      </c>
      <c r="AA73" s="30" t="s">
        <v>245</v>
      </c>
      <c r="AB73" s="30" t="s">
        <v>245</v>
      </c>
      <c r="AC73" s="30" t="s">
        <v>860</v>
      </c>
      <c r="AD73" s="30" t="s">
        <v>861</v>
      </c>
      <c r="AE73" s="30" t="s">
        <v>245</v>
      </c>
      <c r="AF73" s="30" t="s">
        <v>245</v>
      </c>
      <c r="AG73" s="30" t="s">
        <v>245</v>
      </c>
      <c r="AH73" s="30" t="s">
        <v>245</v>
      </c>
      <c r="AI73" s="30" t="s">
        <v>245</v>
      </c>
      <c r="AJ73" s="30" t="s">
        <v>245</v>
      </c>
      <c r="AK73" s="30" t="s">
        <v>245</v>
      </c>
      <c r="AL73" s="30" t="s">
        <v>245</v>
      </c>
      <c r="AM73" s="30" t="s">
        <v>245</v>
      </c>
      <c r="AN73" s="30" t="s">
        <v>245</v>
      </c>
      <c r="AO73" s="30" t="s">
        <v>245</v>
      </c>
      <c r="AP73" s="30" t="s">
        <v>245</v>
      </c>
      <c r="AQ73" s="30" t="s">
        <v>245</v>
      </c>
      <c r="AR73" s="30" t="s">
        <v>245</v>
      </c>
      <c r="AS73" s="30" t="s">
        <v>862</v>
      </c>
      <c r="AT73" s="30" t="s">
        <v>245</v>
      </c>
      <c r="AU73" s="30" t="s">
        <v>245</v>
      </c>
      <c r="AV73" s="30" t="s">
        <v>245</v>
      </c>
      <c r="AW73" s="30">
        <v>2002</v>
      </c>
      <c r="AX73" s="30" t="s">
        <v>245</v>
      </c>
      <c r="AY73" s="30" t="s">
        <v>245</v>
      </c>
      <c r="AZ73" s="30" t="s">
        <v>245</v>
      </c>
      <c r="BA73" s="30" t="s">
        <v>245</v>
      </c>
      <c r="BB73" s="30" t="s">
        <v>245</v>
      </c>
      <c r="BC73" s="30" t="s">
        <v>245</v>
      </c>
      <c r="BD73" s="30">
        <v>147</v>
      </c>
      <c r="BE73" s="30">
        <v>148</v>
      </c>
      <c r="BF73" s="30" t="s">
        <v>245</v>
      </c>
      <c r="BG73" s="30" t="s">
        <v>245</v>
      </c>
      <c r="BH73" s="30" t="s">
        <v>245</v>
      </c>
      <c r="BI73" s="30" t="s">
        <v>245</v>
      </c>
      <c r="BJ73" s="30" t="s">
        <v>245</v>
      </c>
      <c r="BK73" s="30" t="s">
        <v>245</v>
      </c>
      <c r="BL73" s="30" t="s">
        <v>245</v>
      </c>
      <c r="BM73" s="30" t="s">
        <v>245</v>
      </c>
      <c r="BN73" s="30" t="s">
        <v>245</v>
      </c>
      <c r="BO73" s="30" t="s">
        <v>245</v>
      </c>
      <c r="BP73" s="30" t="s">
        <v>245</v>
      </c>
      <c r="BQ73" s="30" t="s">
        <v>245</v>
      </c>
      <c r="BR73" s="30" t="s">
        <v>245</v>
      </c>
      <c r="BS73" s="30" t="s">
        <v>245</v>
      </c>
      <c r="BT73" s="30" t="s">
        <v>245</v>
      </c>
      <c r="BU73" s="30" t="s">
        <v>863</v>
      </c>
      <c r="BV73" s="30" t="str">
        <f>HYPERLINK("https%3A%2F%2Fwww.webofscience.com%2Fwos%2Fwoscc%2Ffull-record%2FWOS:000181977700037","View Full Record in Web of Science")</f>
        <v>View Full Record in Web of Science</v>
      </c>
    </row>
    <row r="74" spans="1:74" x14ac:dyDescent="0.2">
      <c r="A74" s="30" t="s">
        <v>243</v>
      </c>
      <c r="B74" s="30" t="s">
        <v>864</v>
      </c>
      <c r="C74" s="30" t="s">
        <v>245</v>
      </c>
      <c r="D74" s="30" t="s">
        <v>245</v>
      </c>
      <c r="E74" s="30" t="s">
        <v>245</v>
      </c>
      <c r="F74" s="30" t="s">
        <v>865</v>
      </c>
      <c r="G74" s="30" t="s">
        <v>245</v>
      </c>
      <c r="H74" s="30" t="s">
        <v>245</v>
      </c>
      <c r="K74" s="30" t="s">
        <v>866</v>
      </c>
      <c r="L74" s="30" t="s">
        <v>867</v>
      </c>
      <c r="M74" s="30" t="s">
        <v>245</v>
      </c>
      <c r="N74" s="30" t="s">
        <v>245</v>
      </c>
      <c r="O74" s="30" t="s">
        <v>245</v>
      </c>
      <c r="P74" s="30" t="s">
        <v>245</v>
      </c>
      <c r="Q74" s="30" t="s">
        <v>245</v>
      </c>
      <c r="R74" s="30" t="s">
        <v>245</v>
      </c>
      <c r="S74" s="30" t="s">
        <v>245</v>
      </c>
      <c r="T74" s="30" t="s">
        <v>245</v>
      </c>
      <c r="U74" s="30" t="s">
        <v>245</v>
      </c>
      <c r="V74" s="30" t="s">
        <v>245</v>
      </c>
      <c r="W74" s="30" t="s">
        <v>245</v>
      </c>
      <c r="X74" s="30" t="s">
        <v>245</v>
      </c>
      <c r="Y74" s="30" t="s">
        <v>245</v>
      </c>
      <c r="Z74" s="30" t="s">
        <v>245</v>
      </c>
      <c r="AA74" s="30" t="s">
        <v>245</v>
      </c>
      <c r="AB74" s="30" t="s">
        <v>245</v>
      </c>
      <c r="AC74" s="30" t="s">
        <v>245</v>
      </c>
      <c r="AD74" s="30" t="s">
        <v>245</v>
      </c>
      <c r="AE74" s="30" t="s">
        <v>245</v>
      </c>
      <c r="AF74" s="30" t="s">
        <v>245</v>
      </c>
      <c r="AG74" s="30" t="s">
        <v>245</v>
      </c>
      <c r="AH74" s="30" t="s">
        <v>245</v>
      </c>
      <c r="AI74" s="30" t="s">
        <v>245</v>
      </c>
      <c r="AJ74" s="30" t="s">
        <v>245</v>
      </c>
      <c r="AK74" s="30" t="s">
        <v>245</v>
      </c>
      <c r="AL74" s="30" t="s">
        <v>245</v>
      </c>
      <c r="AM74" s="30" t="s">
        <v>245</v>
      </c>
      <c r="AN74" s="30" t="s">
        <v>245</v>
      </c>
      <c r="AO74" s="30" t="s">
        <v>245</v>
      </c>
      <c r="AP74" s="30" t="s">
        <v>245</v>
      </c>
      <c r="AQ74" s="30" t="s">
        <v>868</v>
      </c>
      <c r="AR74" s="30" t="s">
        <v>869</v>
      </c>
      <c r="AS74" s="30" t="s">
        <v>245</v>
      </c>
      <c r="AT74" s="30" t="s">
        <v>245</v>
      </c>
      <c r="AU74" s="30" t="s">
        <v>245</v>
      </c>
      <c r="AV74" s="30" t="s">
        <v>245</v>
      </c>
      <c r="AW74" s="30">
        <v>2018</v>
      </c>
      <c r="AX74" s="30">
        <v>20</v>
      </c>
      <c r="AY74" s="30">
        <v>2</v>
      </c>
      <c r="AZ74" s="30" t="s">
        <v>245</v>
      </c>
      <c r="BA74" s="30" t="s">
        <v>245</v>
      </c>
      <c r="BB74" s="30" t="s">
        <v>245</v>
      </c>
      <c r="BC74" s="30" t="s">
        <v>245</v>
      </c>
      <c r="BD74" s="30">
        <v>249</v>
      </c>
      <c r="BE74" s="30">
        <v>254</v>
      </c>
      <c r="BF74" s="30" t="s">
        <v>245</v>
      </c>
      <c r="BG74" s="30" t="s">
        <v>870</v>
      </c>
      <c r="BH74" s="30" t="str">
        <f>HYPERLINK("http://dx.doi.org/10.17957/IJAB/15.0484","http://dx.doi.org/10.17957/IJAB/15.0484")</f>
        <v>http://dx.doi.org/10.17957/IJAB/15.0484</v>
      </c>
      <c r="BI74" s="30" t="s">
        <v>245</v>
      </c>
      <c r="BJ74" s="30" t="s">
        <v>245</v>
      </c>
      <c r="BK74" s="30" t="s">
        <v>245</v>
      </c>
      <c r="BL74" s="30" t="s">
        <v>245</v>
      </c>
      <c r="BM74" s="30" t="s">
        <v>245</v>
      </c>
      <c r="BN74" s="30" t="s">
        <v>245</v>
      </c>
      <c r="BO74" s="30" t="s">
        <v>245</v>
      </c>
      <c r="BP74" s="30" t="s">
        <v>245</v>
      </c>
      <c r="BQ74" s="30" t="s">
        <v>245</v>
      </c>
      <c r="BR74" s="30" t="s">
        <v>245</v>
      </c>
      <c r="BS74" s="30" t="s">
        <v>245</v>
      </c>
      <c r="BT74" s="30" t="s">
        <v>245</v>
      </c>
      <c r="BU74" s="30" t="s">
        <v>871</v>
      </c>
      <c r="BV74" s="30" t="str">
        <f>HYPERLINK("https%3A%2F%2Fwww.webofscience.com%2Fwos%2Fwoscc%2Ffull-record%2FWOS:000426044300005","View Full Record in Web of Science")</f>
        <v>View Full Record in Web of Science</v>
      </c>
    </row>
    <row r="75" spans="1:74" x14ac:dyDescent="0.2">
      <c r="A75" s="30" t="s">
        <v>243</v>
      </c>
      <c r="B75" s="30" t="s">
        <v>872</v>
      </c>
      <c r="C75" s="30" t="s">
        <v>245</v>
      </c>
      <c r="D75" s="30" t="s">
        <v>245</v>
      </c>
      <c r="E75" s="30" t="s">
        <v>245</v>
      </c>
      <c r="F75" s="30" t="s">
        <v>873</v>
      </c>
      <c r="G75" s="30" t="s">
        <v>245</v>
      </c>
      <c r="H75" s="30" t="s">
        <v>245</v>
      </c>
      <c r="I75" s="30" t="s">
        <v>2823</v>
      </c>
      <c r="K75" s="30" t="s">
        <v>874</v>
      </c>
      <c r="L75" s="30" t="s">
        <v>875</v>
      </c>
      <c r="M75" s="30" t="s">
        <v>245</v>
      </c>
      <c r="N75" s="30" t="s">
        <v>245</v>
      </c>
      <c r="O75" s="30" t="s">
        <v>245</v>
      </c>
      <c r="P75" s="30" t="s">
        <v>245</v>
      </c>
      <c r="Q75" s="30" t="s">
        <v>245</v>
      </c>
      <c r="R75" s="30" t="s">
        <v>245</v>
      </c>
      <c r="S75" s="30" t="s">
        <v>245</v>
      </c>
      <c r="T75" s="30" t="s">
        <v>245</v>
      </c>
      <c r="U75" s="30" t="s">
        <v>245</v>
      </c>
      <c r="V75" s="30" t="s">
        <v>245</v>
      </c>
      <c r="W75" s="30" t="s">
        <v>245</v>
      </c>
      <c r="X75" s="30" t="s">
        <v>245</v>
      </c>
      <c r="Y75" s="30" t="s">
        <v>245</v>
      </c>
      <c r="Z75" s="30" t="s">
        <v>245</v>
      </c>
      <c r="AA75" s="30" t="s">
        <v>245</v>
      </c>
      <c r="AB75" s="30" t="s">
        <v>245</v>
      </c>
      <c r="AC75" s="30" t="s">
        <v>876</v>
      </c>
      <c r="AD75" s="30" t="s">
        <v>877</v>
      </c>
      <c r="AE75" s="30" t="s">
        <v>245</v>
      </c>
      <c r="AF75" s="30" t="s">
        <v>245</v>
      </c>
      <c r="AG75" s="30" t="s">
        <v>245</v>
      </c>
      <c r="AH75" s="30" t="s">
        <v>245</v>
      </c>
      <c r="AI75" s="30" t="s">
        <v>245</v>
      </c>
      <c r="AJ75" s="30" t="s">
        <v>245</v>
      </c>
      <c r="AK75" s="30" t="s">
        <v>245</v>
      </c>
      <c r="AL75" s="30" t="s">
        <v>245</v>
      </c>
      <c r="AM75" s="30" t="s">
        <v>245</v>
      </c>
      <c r="AN75" s="30" t="s">
        <v>245</v>
      </c>
      <c r="AO75" s="30" t="s">
        <v>245</v>
      </c>
      <c r="AP75" s="30" t="s">
        <v>245</v>
      </c>
      <c r="AQ75" s="30" t="s">
        <v>878</v>
      </c>
      <c r="AR75" s="30" t="s">
        <v>245</v>
      </c>
      <c r="AS75" s="30" t="s">
        <v>245</v>
      </c>
      <c r="AT75" s="30" t="s">
        <v>245</v>
      </c>
      <c r="AU75" s="30" t="s">
        <v>245</v>
      </c>
      <c r="AV75" s="30" t="s">
        <v>481</v>
      </c>
      <c r="AW75" s="30">
        <v>2006</v>
      </c>
      <c r="AX75" s="30">
        <v>58</v>
      </c>
      <c r="AY75" s="30">
        <v>3</v>
      </c>
      <c r="AZ75" s="30" t="s">
        <v>245</v>
      </c>
      <c r="BA75" s="30" t="s">
        <v>245</v>
      </c>
      <c r="BB75" s="30" t="s">
        <v>245</v>
      </c>
      <c r="BC75" s="30" t="s">
        <v>245</v>
      </c>
      <c r="BD75" s="30">
        <v>503</v>
      </c>
      <c r="BE75" s="30">
        <v>516</v>
      </c>
      <c r="BF75" s="30" t="s">
        <v>245</v>
      </c>
      <c r="BG75" s="30" t="s">
        <v>879</v>
      </c>
      <c r="BH75" s="30" t="str">
        <f>HYPERLINK("http://dx.doi.org/10.1111/j.1574-6941.2006.00175.x","http://dx.doi.org/10.1111/j.1574-6941.2006.00175.x")</f>
        <v>http://dx.doi.org/10.1111/j.1574-6941.2006.00175.x</v>
      </c>
      <c r="BI75" s="30" t="s">
        <v>245</v>
      </c>
      <c r="BJ75" s="30" t="s">
        <v>245</v>
      </c>
      <c r="BK75" s="30" t="s">
        <v>245</v>
      </c>
      <c r="BL75" s="30" t="s">
        <v>245</v>
      </c>
      <c r="BM75" s="30" t="s">
        <v>245</v>
      </c>
      <c r="BN75" s="30" t="s">
        <v>245</v>
      </c>
      <c r="BO75" s="30" t="s">
        <v>245</v>
      </c>
      <c r="BP75" s="30">
        <v>17117992</v>
      </c>
      <c r="BQ75" s="30" t="s">
        <v>245</v>
      </c>
      <c r="BR75" s="30" t="s">
        <v>245</v>
      </c>
      <c r="BS75" s="30" t="s">
        <v>245</v>
      </c>
      <c r="BT75" s="30" t="s">
        <v>245</v>
      </c>
      <c r="BU75" s="30" t="s">
        <v>880</v>
      </c>
      <c r="BV75" s="30" t="str">
        <f>HYPERLINK("https%3A%2F%2Fwww.webofscience.com%2Fwos%2Fwoscc%2Ffull-record%2FWOS:000242016000018","View Full Record in Web of Science")</f>
        <v>View Full Record in Web of Science</v>
      </c>
    </row>
    <row r="76" spans="1:74" x14ac:dyDescent="0.2">
      <c r="A76" s="30" t="s">
        <v>243</v>
      </c>
      <c r="B76" s="30" t="s">
        <v>881</v>
      </c>
      <c r="C76" s="30" t="s">
        <v>245</v>
      </c>
      <c r="D76" s="30" t="s">
        <v>245</v>
      </c>
      <c r="E76" s="30" t="s">
        <v>245</v>
      </c>
      <c r="F76" s="30" t="s">
        <v>882</v>
      </c>
      <c r="G76" s="30" t="s">
        <v>245</v>
      </c>
      <c r="H76" s="30" t="s">
        <v>245</v>
      </c>
      <c r="I76" s="30" t="s">
        <v>2821</v>
      </c>
      <c r="K76" s="30" t="s">
        <v>883</v>
      </c>
      <c r="L76" s="30" t="s">
        <v>632</v>
      </c>
      <c r="M76" s="30" t="s">
        <v>245</v>
      </c>
      <c r="N76" s="30" t="s">
        <v>245</v>
      </c>
      <c r="O76" s="30" t="s">
        <v>245</v>
      </c>
      <c r="P76" s="30" t="s">
        <v>245</v>
      </c>
      <c r="Q76" s="30" t="s">
        <v>245</v>
      </c>
      <c r="R76" s="30" t="s">
        <v>245</v>
      </c>
      <c r="S76" s="30" t="s">
        <v>245</v>
      </c>
      <c r="T76" s="30" t="s">
        <v>245</v>
      </c>
      <c r="U76" s="30" t="s">
        <v>245</v>
      </c>
      <c r="V76" s="30" t="s">
        <v>245</v>
      </c>
      <c r="W76" s="30" t="s">
        <v>245</v>
      </c>
      <c r="X76" s="30" t="s">
        <v>245</v>
      </c>
      <c r="Y76" s="30" t="s">
        <v>245</v>
      </c>
      <c r="Z76" s="30" t="s">
        <v>245</v>
      </c>
      <c r="AA76" s="30" t="s">
        <v>245</v>
      </c>
      <c r="AB76" s="30" t="s">
        <v>245</v>
      </c>
      <c r="AC76" s="30" t="s">
        <v>884</v>
      </c>
      <c r="AD76" s="30" t="s">
        <v>885</v>
      </c>
      <c r="AE76" s="30" t="s">
        <v>245</v>
      </c>
      <c r="AF76" s="30" t="s">
        <v>245</v>
      </c>
      <c r="AG76" s="30" t="s">
        <v>245</v>
      </c>
      <c r="AH76" s="30" t="s">
        <v>245</v>
      </c>
      <c r="AI76" s="30" t="s">
        <v>245</v>
      </c>
      <c r="AJ76" s="30" t="s">
        <v>245</v>
      </c>
      <c r="AK76" s="30" t="s">
        <v>245</v>
      </c>
      <c r="AL76" s="30" t="s">
        <v>245</v>
      </c>
      <c r="AM76" s="30" t="s">
        <v>245</v>
      </c>
      <c r="AN76" s="30" t="s">
        <v>245</v>
      </c>
      <c r="AO76" s="30" t="s">
        <v>245</v>
      </c>
      <c r="AP76" s="30" t="s">
        <v>245</v>
      </c>
      <c r="AQ76" s="30" t="s">
        <v>633</v>
      </c>
      <c r="AR76" s="30" t="s">
        <v>634</v>
      </c>
      <c r="AS76" s="30" t="s">
        <v>245</v>
      </c>
      <c r="AT76" s="30" t="s">
        <v>245</v>
      </c>
      <c r="AU76" s="30" t="s">
        <v>245</v>
      </c>
      <c r="AV76" s="30" t="s">
        <v>435</v>
      </c>
      <c r="AW76" s="30">
        <v>2024</v>
      </c>
      <c r="AX76" s="30">
        <v>359</v>
      </c>
      <c r="AY76" s="30" t="s">
        <v>245</v>
      </c>
      <c r="AZ76" s="30" t="s">
        <v>245</v>
      </c>
      <c r="BA76" s="30" t="s">
        <v>245</v>
      </c>
      <c r="BB76" s="30" t="s">
        <v>245</v>
      </c>
      <c r="BC76" s="30" t="s">
        <v>245</v>
      </c>
      <c r="BD76" s="30" t="s">
        <v>245</v>
      </c>
      <c r="BE76" s="30" t="s">
        <v>245</v>
      </c>
      <c r="BF76" s="30">
        <v>120969</v>
      </c>
      <c r="BG76" s="30" t="s">
        <v>886</v>
      </c>
      <c r="BH76" s="30" t="str">
        <f>HYPERLINK("http://dx.doi.org/10.1016/j.jenvman.2024.120969","http://dx.doi.org/10.1016/j.jenvman.2024.120969")</f>
        <v>http://dx.doi.org/10.1016/j.jenvman.2024.120969</v>
      </c>
      <c r="BI76" s="30" t="s">
        <v>245</v>
      </c>
      <c r="BJ76" s="30" t="s">
        <v>887</v>
      </c>
      <c r="BK76" s="30" t="s">
        <v>245</v>
      </c>
      <c r="BL76" s="30" t="s">
        <v>245</v>
      </c>
      <c r="BM76" s="30" t="s">
        <v>245</v>
      </c>
      <c r="BN76" s="30" t="s">
        <v>245</v>
      </c>
      <c r="BO76" s="30" t="s">
        <v>245</v>
      </c>
      <c r="BP76" s="30">
        <v>38678900</v>
      </c>
      <c r="BQ76" s="30" t="s">
        <v>245</v>
      </c>
      <c r="BR76" s="30" t="s">
        <v>245</v>
      </c>
      <c r="BS76" s="30" t="s">
        <v>245</v>
      </c>
      <c r="BT76" s="30" t="s">
        <v>245</v>
      </c>
      <c r="BU76" s="30" t="s">
        <v>888</v>
      </c>
      <c r="BV76" s="30" t="str">
        <f>HYPERLINK("https%3A%2F%2Fwww.webofscience.com%2Fwos%2Fwoscc%2Ffull-record%2FWOS:001235362300001","View Full Record in Web of Science")</f>
        <v>View Full Record in Web of Science</v>
      </c>
    </row>
    <row r="77" spans="1:74" x14ac:dyDescent="0.2">
      <c r="A77" s="30" t="s">
        <v>243</v>
      </c>
      <c r="B77" s="30" t="s">
        <v>889</v>
      </c>
      <c r="C77" s="30" t="s">
        <v>245</v>
      </c>
      <c r="D77" s="30" t="s">
        <v>245</v>
      </c>
      <c r="E77" s="30" t="s">
        <v>245</v>
      </c>
      <c r="F77" s="30" t="s">
        <v>890</v>
      </c>
      <c r="G77" s="30" t="s">
        <v>245</v>
      </c>
      <c r="H77" s="30" t="s">
        <v>245</v>
      </c>
      <c r="I77" s="30" t="s">
        <v>2821</v>
      </c>
      <c r="K77" s="30" t="s">
        <v>891</v>
      </c>
      <c r="L77" s="30" t="s">
        <v>892</v>
      </c>
      <c r="M77" s="30" t="s">
        <v>245</v>
      </c>
      <c r="N77" s="30" t="s">
        <v>245</v>
      </c>
      <c r="O77" s="30" t="s">
        <v>245</v>
      </c>
      <c r="P77" s="30" t="s">
        <v>245</v>
      </c>
      <c r="Q77" s="30" t="s">
        <v>893</v>
      </c>
      <c r="R77" s="30" t="s">
        <v>894</v>
      </c>
      <c r="S77" s="30" t="s">
        <v>895</v>
      </c>
      <c r="T77" s="30" t="s">
        <v>896</v>
      </c>
      <c r="U77" s="30" t="s">
        <v>245</v>
      </c>
      <c r="V77" s="30" t="s">
        <v>245</v>
      </c>
      <c r="W77" s="30" t="s">
        <v>245</v>
      </c>
      <c r="X77" s="30" t="s">
        <v>245</v>
      </c>
      <c r="Y77" s="30" t="s">
        <v>245</v>
      </c>
      <c r="Z77" s="30" t="s">
        <v>245</v>
      </c>
      <c r="AA77" s="30" t="s">
        <v>245</v>
      </c>
      <c r="AB77" s="30" t="s">
        <v>245</v>
      </c>
      <c r="AC77" s="30" t="s">
        <v>897</v>
      </c>
      <c r="AD77" s="30" t="s">
        <v>245</v>
      </c>
      <c r="AE77" s="30" t="s">
        <v>245</v>
      </c>
      <c r="AF77" s="30" t="s">
        <v>245</v>
      </c>
      <c r="AG77" s="30" t="s">
        <v>245</v>
      </c>
      <c r="AH77" s="30" t="s">
        <v>245</v>
      </c>
      <c r="AI77" s="30" t="s">
        <v>245</v>
      </c>
      <c r="AJ77" s="30" t="s">
        <v>245</v>
      </c>
      <c r="AK77" s="30" t="s">
        <v>245</v>
      </c>
      <c r="AL77" s="30" t="s">
        <v>245</v>
      </c>
      <c r="AM77" s="30" t="s">
        <v>245</v>
      </c>
      <c r="AN77" s="30" t="s">
        <v>245</v>
      </c>
      <c r="AO77" s="30" t="s">
        <v>245</v>
      </c>
      <c r="AP77" s="30" t="s">
        <v>245</v>
      </c>
      <c r="AQ77" s="30" t="s">
        <v>898</v>
      </c>
      <c r="AR77" s="30" t="s">
        <v>899</v>
      </c>
      <c r="AS77" s="30" t="s">
        <v>245</v>
      </c>
      <c r="AT77" s="30" t="s">
        <v>245</v>
      </c>
      <c r="AU77" s="30" t="s">
        <v>245</v>
      </c>
      <c r="AV77" s="30" t="s">
        <v>481</v>
      </c>
      <c r="AW77" s="30">
        <v>2016</v>
      </c>
      <c r="AX77" s="30">
        <v>164</v>
      </c>
      <c r="AY77" s="30" t="s">
        <v>245</v>
      </c>
      <c r="AZ77" s="30" t="s">
        <v>245</v>
      </c>
      <c r="BA77" s="30" t="s">
        <v>245</v>
      </c>
      <c r="BB77" s="30" t="s">
        <v>298</v>
      </c>
      <c r="BC77" s="30" t="s">
        <v>245</v>
      </c>
      <c r="BD77" s="30">
        <v>52</v>
      </c>
      <c r="BE77" s="30">
        <v>62</v>
      </c>
      <c r="BF77" s="30" t="s">
        <v>245</v>
      </c>
      <c r="BG77" s="30" t="s">
        <v>900</v>
      </c>
      <c r="BH77" s="30" t="str">
        <f>HYPERLINK("http://dx.doi.org/10.1016/j.still.2016.05.006","http://dx.doi.org/10.1016/j.still.2016.05.006")</f>
        <v>http://dx.doi.org/10.1016/j.still.2016.05.006</v>
      </c>
      <c r="BI77" s="30" t="s">
        <v>245</v>
      </c>
      <c r="BJ77" s="30" t="s">
        <v>245</v>
      </c>
      <c r="BK77" s="30" t="s">
        <v>245</v>
      </c>
      <c r="BL77" s="30" t="s">
        <v>245</v>
      </c>
      <c r="BM77" s="30" t="s">
        <v>245</v>
      </c>
      <c r="BN77" s="30" t="s">
        <v>245</v>
      </c>
      <c r="BO77" s="30" t="s">
        <v>245</v>
      </c>
      <c r="BP77" s="30" t="s">
        <v>245</v>
      </c>
      <c r="BQ77" s="30" t="s">
        <v>245</v>
      </c>
      <c r="BR77" s="30" t="s">
        <v>245</v>
      </c>
      <c r="BS77" s="30" t="s">
        <v>245</v>
      </c>
      <c r="BT77" s="30" t="s">
        <v>245</v>
      </c>
      <c r="BU77" s="30" t="s">
        <v>901</v>
      </c>
      <c r="BV77" s="30" t="str">
        <f>HYPERLINK("https%3A%2F%2Fwww.webofscience.com%2Fwos%2Fwoscc%2Ffull-record%2FWOS:000381834100008","View Full Record in Web of Science")</f>
        <v>View Full Record in Web of Science</v>
      </c>
    </row>
    <row r="78" spans="1:74" x14ac:dyDescent="0.2">
      <c r="A78" s="30" t="s">
        <v>243</v>
      </c>
      <c r="B78" s="30" t="s">
        <v>49</v>
      </c>
      <c r="C78" s="30" t="s">
        <v>245</v>
      </c>
      <c r="D78" s="30" t="s">
        <v>245</v>
      </c>
      <c r="E78" s="30" t="s">
        <v>245</v>
      </c>
      <c r="F78" s="30" t="s">
        <v>49</v>
      </c>
      <c r="G78" s="30" t="s">
        <v>245</v>
      </c>
      <c r="H78" s="30" t="s">
        <v>245</v>
      </c>
      <c r="K78" s="30" t="s">
        <v>48</v>
      </c>
      <c r="L78" s="30" t="s">
        <v>282</v>
      </c>
      <c r="M78" s="30" t="s">
        <v>245</v>
      </c>
      <c r="N78" s="30" t="s">
        <v>245</v>
      </c>
      <c r="O78" s="30" t="s">
        <v>245</v>
      </c>
      <c r="P78" s="30" t="s">
        <v>245</v>
      </c>
      <c r="Q78" s="30" t="s">
        <v>245</v>
      </c>
      <c r="R78" s="30" t="s">
        <v>245</v>
      </c>
      <c r="S78" s="30" t="s">
        <v>245</v>
      </c>
      <c r="T78" s="30" t="s">
        <v>245</v>
      </c>
      <c r="U78" s="30" t="s">
        <v>245</v>
      </c>
      <c r="V78" s="30" t="s">
        <v>245</v>
      </c>
      <c r="W78" s="30" t="s">
        <v>245</v>
      </c>
      <c r="X78" s="30" t="s">
        <v>245</v>
      </c>
      <c r="Y78" s="30" t="s">
        <v>245</v>
      </c>
      <c r="Z78" s="30" t="s">
        <v>245</v>
      </c>
      <c r="AA78" s="30" t="s">
        <v>245</v>
      </c>
      <c r="AB78" s="30" t="s">
        <v>245</v>
      </c>
      <c r="AC78" s="30" t="s">
        <v>245</v>
      </c>
      <c r="AD78" s="30" t="s">
        <v>245</v>
      </c>
      <c r="AE78" s="30" t="s">
        <v>245</v>
      </c>
      <c r="AF78" s="30" t="s">
        <v>245</v>
      </c>
      <c r="AG78" s="30" t="s">
        <v>245</v>
      </c>
      <c r="AH78" s="30" t="s">
        <v>245</v>
      </c>
      <c r="AI78" s="30" t="s">
        <v>245</v>
      </c>
      <c r="AJ78" s="30" t="s">
        <v>245</v>
      </c>
      <c r="AK78" s="30" t="s">
        <v>245</v>
      </c>
      <c r="AL78" s="30" t="s">
        <v>245</v>
      </c>
      <c r="AM78" s="30" t="s">
        <v>245</v>
      </c>
      <c r="AN78" s="30" t="s">
        <v>245</v>
      </c>
      <c r="AO78" s="30" t="s">
        <v>245</v>
      </c>
      <c r="AP78" s="30" t="s">
        <v>245</v>
      </c>
      <c r="AQ78" s="30" t="s">
        <v>285</v>
      </c>
      <c r="AR78" s="30" t="s">
        <v>370</v>
      </c>
      <c r="AS78" s="30" t="s">
        <v>245</v>
      </c>
      <c r="AT78" s="30" t="s">
        <v>245</v>
      </c>
      <c r="AU78" s="30" t="s">
        <v>245</v>
      </c>
      <c r="AV78" s="30" t="s">
        <v>481</v>
      </c>
      <c r="AW78" s="30">
        <v>1999</v>
      </c>
      <c r="AX78" s="30">
        <v>31</v>
      </c>
      <c r="AY78" s="30">
        <v>14</v>
      </c>
      <c r="AZ78" s="30" t="s">
        <v>245</v>
      </c>
      <c r="BA78" s="30" t="s">
        <v>245</v>
      </c>
      <c r="BB78" s="30" t="s">
        <v>245</v>
      </c>
      <c r="BC78" s="30" t="s">
        <v>245</v>
      </c>
      <c r="BD78" s="30">
        <v>1931</v>
      </c>
      <c r="BE78" s="30">
        <v>1941</v>
      </c>
      <c r="BF78" s="30" t="s">
        <v>245</v>
      </c>
      <c r="BG78" s="30" t="s">
        <v>902</v>
      </c>
      <c r="BH78" s="30" t="str">
        <f>HYPERLINK("http://dx.doi.org/10.1016/S0038-0717(99)00111-X","http://dx.doi.org/10.1016/S0038-0717(99)00111-X")</f>
        <v>http://dx.doi.org/10.1016/S0038-0717(99)00111-X</v>
      </c>
      <c r="BI78" s="30" t="s">
        <v>245</v>
      </c>
      <c r="BJ78" s="30" t="s">
        <v>245</v>
      </c>
      <c r="BK78" s="30" t="s">
        <v>245</v>
      </c>
      <c r="BL78" s="30" t="s">
        <v>245</v>
      </c>
      <c r="BM78" s="30" t="s">
        <v>245</v>
      </c>
      <c r="BN78" s="30" t="s">
        <v>245</v>
      </c>
      <c r="BO78" s="30" t="s">
        <v>245</v>
      </c>
      <c r="BP78" s="30" t="s">
        <v>245</v>
      </c>
      <c r="BQ78" s="30" t="s">
        <v>245</v>
      </c>
      <c r="BR78" s="30" t="s">
        <v>245</v>
      </c>
      <c r="BS78" s="30" t="s">
        <v>245</v>
      </c>
      <c r="BT78" s="30" t="s">
        <v>245</v>
      </c>
      <c r="BU78" s="30" t="s">
        <v>903</v>
      </c>
      <c r="BV78" s="30" t="str">
        <f>HYPERLINK("https%3A%2F%2Fwww.webofscience.com%2Fwos%2Fwoscc%2Ffull-record%2FWOS:000083246300003","View Full Record in Web of Science")</f>
        <v>View Full Record in Web of Science</v>
      </c>
    </row>
    <row r="79" spans="1:74" x14ac:dyDescent="0.2">
      <c r="A79" s="30" t="s">
        <v>243</v>
      </c>
      <c r="B79" s="30" t="s">
        <v>904</v>
      </c>
      <c r="C79" s="30" t="s">
        <v>245</v>
      </c>
      <c r="D79" s="30" t="s">
        <v>245</v>
      </c>
      <c r="E79" s="30" t="s">
        <v>245</v>
      </c>
      <c r="F79" s="30" t="s">
        <v>905</v>
      </c>
      <c r="G79" s="30" t="s">
        <v>245</v>
      </c>
      <c r="H79" s="30" t="s">
        <v>245</v>
      </c>
      <c r="K79" s="30" t="s">
        <v>52</v>
      </c>
      <c r="L79" s="30" t="s">
        <v>432</v>
      </c>
      <c r="M79" s="30" t="s">
        <v>245</v>
      </c>
      <c r="N79" s="30" t="s">
        <v>245</v>
      </c>
      <c r="O79" s="30" t="s">
        <v>245</v>
      </c>
      <c r="P79" s="30" t="s">
        <v>245</v>
      </c>
      <c r="Q79" s="30" t="s">
        <v>245</v>
      </c>
      <c r="R79" s="30" t="s">
        <v>245</v>
      </c>
      <c r="S79" s="30" t="s">
        <v>245</v>
      </c>
      <c r="T79" s="30" t="s">
        <v>245</v>
      </c>
      <c r="U79" s="30" t="s">
        <v>245</v>
      </c>
      <c r="V79" s="30" t="s">
        <v>245</v>
      </c>
      <c r="W79" s="30" t="s">
        <v>245</v>
      </c>
      <c r="X79" s="30" t="s">
        <v>245</v>
      </c>
      <c r="Y79" s="30" t="s">
        <v>245</v>
      </c>
      <c r="Z79" s="30" t="s">
        <v>245</v>
      </c>
      <c r="AA79" s="30" t="s">
        <v>245</v>
      </c>
      <c r="AB79" s="30" t="s">
        <v>245</v>
      </c>
      <c r="AC79" s="30" t="s">
        <v>906</v>
      </c>
      <c r="AD79" s="30" t="s">
        <v>907</v>
      </c>
      <c r="AE79" s="30" t="s">
        <v>245</v>
      </c>
      <c r="AF79" s="30" t="s">
        <v>245</v>
      </c>
      <c r="AG79" s="30" t="s">
        <v>245</v>
      </c>
      <c r="AH79" s="30" t="s">
        <v>245</v>
      </c>
      <c r="AI79" s="30" t="s">
        <v>245</v>
      </c>
      <c r="AJ79" s="30" t="s">
        <v>245</v>
      </c>
      <c r="AK79" s="30" t="s">
        <v>245</v>
      </c>
      <c r="AL79" s="30" t="s">
        <v>245</v>
      </c>
      <c r="AM79" s="30" t="s">
        <v>245</v>
      </c>
      <c r="AN79" s="30" t="s">
        <v>245</v>
      </c>
      <c r="AO79" s="30" t="s">
        <v>245</v>
      </c>
      <c r="AP79" s="30" t="s">
        <v>245</v>
      </c>
      <c r="AQ79" s="30" t="s">
        <v>433</v>
      </c>
      <c r="AR79" s="30" t="s">
        <v>434</v>
      </c>
      <c r="AS79" s="30" t="s">
        <v>245</v>
      </c>
      <c r="AT79" s="30" t="s">
        <v>245</v>
      </c>
      <c r="AU79" s="30" t="s">
        <v>245</v>
      </c>
      <c r="AV79" s="30" t="s">
        <v>265</v>
      </c>
      <c r="AW79" s="30">
        <v>2021</v>
      </c>
      <c r="AX79" s="30">
        <v>463</v>
      </c>
      <c r="AY79" s="30" t="s">
        <v>436</v>
      </c>
      <c r="AZ79" s="30" t="s">
        <v>245</v>
      </c>
      <c r="BA79" s="30" t="s">
        <v>245</v>
      </c>
      <c r="BB79" s="30" t="s">
        <v>245</v>
      </c>
      <c r="BC79" s="30" t="s">
        <v>245</v>
      </c>
      <c r="BD79" s="30">
        <v>615</v>
      </c>
      <c r="BE79" s="30">
        <v>630</v>
      </c>
      <c r="BF79" s="30" t="s">
        <v>245</v>
      </c>
      <c r="BG79" s="30" t="s">
        <v>908</v>
      </c>
      <c r="BH79" s="30" t="str">
        <f>HYPERLINK("http://dx.doi.org/10.1007/s11104-021-04938-5","http://dx.doi.org/10.1007/s11104-021-04938-5")</f>
        <v>http://dx.doi.org/10.1007/s11104-021-04938-5</v>
      </c>
      <c r="BI79" s="30" t="s">
        <v>245</v>
      </c>
      <c r="BJ79" s="30" t="s">
        <v>397</v>
      </c>
      <c r="BK79" s="30" t="s">
        <v>245</v>
      </c>
      <c r="BL79" s="30" t="s">
        <v>245</v>
      </c>
      <c r="BM79" s="30" t="s">
        <v>245</v>
      </c>
      <c r="BN79" s="30" t="s">
        <v>245</v>
      </c>
      <c r="BO79" s="30" t="s">
        <v>245</v>
      </c>
      <c r="BP79" s="30" t="s">
        <v>245</v>
      </c>
      <c r="BQ79" s="30" t="s">
        <v>245</v>
      </c>
      <c r="BR79" s="30" t="s">
        <v>245</v>
      </c>
      <c r="BS79" s="30" t="s">
        <v>245</v>
      </c>
      <c r="BT79" s="30" t="s">
        <v>245</v>
      </c>
      <c r="BU79" s="30" t="s">
        <v>909</v>
      </c>
      <c r="BV79" s="30" t="str">
        <f>HYPERLINK("https%3A%2F%2Fwww.webofscience.com%2Fwos%2Fwoscc%2Ffull-record%2FWOS:000637453800001","View Full Record in Web of Science")</f>
        <v>View Full Record in Web of Science</v>
      </c>
    </row>
    <row r="80" spans="1:74" x14ac:dyDescent="0.2">
      <c r="A80" s="30" t="s">
        <v>243</v>
      </c>
      <c r="B80" s="30" t="s">
        <v>910</v>
      </c>
      <c r="C80" s="30" t="s">
        <v>245</v>
      </c>
      <c r="D80" s="30" t="s">
        <v>245</v>
      </c>
      <c r="E80" s="30" t="s">
        <v>245</v>
      </c>
      <c r="F80" s="30" t="s">
        <v>911</v>
      </c>
      <c r="G80" s="30" t="s">
        <v>245</v>
      </c>
      <c r="H80" s="30" t="s">
        <v>245</v>
      </c>
      <c r="I80" s="30" t="s">
        <v>2822</v>
      </c>
      <c r="K80" s="30" t="s">
        <v>912</v>
      </c>
      <c r="L80" s="30" t="s">
        <v>541</v>
      </c>
      <c r="M80" s="30" t="s">
        <v>245</v>
      </c>
      <c r="N80" s="30" t="s">
        <v>245</v>
      </c>
      <c r="O80" s="30" t="s">
        <v>245</v>
      </c>
      <c r="P80" s="30" t="s">
        <v>245</v>
      </c>
      <c r="Q80" s="30" t="s">
        <v>245</v>
      </c>
      <c r="R80" s="30" t="s">
        <v>245</v>
      </c>
      <c r="S80" s="30" t="s">
        <v>245</v>
      </c>
      <c r="T80" s="30" t="s">
        <v>245</v>
      </c>
      <c r="U80" s="30" t="s">
        <v>245</v>
      </c>
      <c r="V80" s="30" t="s">
        <v>245</v>
      </c>
      <c r="W80" s="30" t="s">
        <v>245</v>
      </c>
      <c r="X80" s="30" t="s">
        <v>245</v>
      </c>
      <c r="Y80" s="30" t="s">
        <v>245</v>
      </c>
      <c r="Z80" s="30" t="s">
        <v>245</v>
      </c>
      <c r="AA80" s="30" t="s">
        <v>245</v>
      </c>
      <c r="AB80" s="30" t="s">
        <v>245</v>
      </c>
      <c r="AC80" s="30" t="s">
        <v>913</v>
      </c>
      <c r="AD80" s="30" t="s">
        <v>914</v>
      </c>
      <c r="AE80" s="30" t="s">
        <v>245</v>
      </c>
      <c r="AF80" s="30" t="s">
        <v>245</v>
      </c>
      <c r="AG80" s="30" t="s">
        <v>245</v>
      </c>
      <c r="AH80" s="30" t="s">
        <v>245</v>
      </c>
      <c r="AI80" s="30" t="s">
        <v>245</v>
      </c>
      <c r="AJ80" s="30" t="s">
        <v>245</v>
      </c>
      <c r="AK80" s="30" t="s">
        <v>245</v>
      </c>
      <c r="AL80" s="30" t="s">
        <v>245</v>
      </c>
      <c r="AM80" s="30" t="s">
        <v>245</v>
      </c>
      <c r="AN80" s="30" t="s">
        <v>245</v>
      </c>
      <c r="AO80" s="30" t="s">
        <v>245</v>
      </c>
      <c r="AP80" s="30" t="s">
        <v>245</v>
      </c>
      <c r="AQ80" s="30" t="s">
        <v>544</v>
      </c>
      <c r="AR80" s="30" t="s">
        <v>545</v>
      </c>
      <c r="AS80" s="30" t="s">
        <v>245</v>
      </c>
      <c r="AT80" s="30" t="s">
        <v>245</v>
      </c>
      <c r="AU80" s="30" t="s">
        <v>245</v>
      </c>
      <c r="AV80" s="30" t="s">
        <v>915</v>
      </c>
      <c r="AW80" s="30">
        <v>2011</v>
      </c>
      <c r="AX80" s="30">
        <v>140</v>
      </c>
      <c r="AY80" s="30" t="s">
        <v>436</v>
      </c>
      <c r="AZ80" s="30" t="s">
        <v>245</v>
      </c>
      <c r="BA80" s="30" t="s">
        <v>245</v>
      </c>
      <c r="BB80" s="30" t="s">
        <v>245</v>
      </c>
      <c r="BC80" s="30" t="s">
        <v>245</v>
      </c>
      <c r="BD80" s="30">
        <v>113</v>
      </c>
      <c r="BE80" s="30">
        <v>122</v>
      </c>
      <c r="BF80" s="30" t="s">
        <v>245</v>
      </c>
      <c r="BG80" s="30" t="s">
        <v>916</v>
      </c>
      <c r="BH80" s="30" t="str">
        <f>HYPERLINK("http://dx.doi.org/10.1016/j.agee.2010.11.018","http://dx.doi.org/10.1016/j.agee.2010.11.018")</f>
        <v>http://dx.doi.org/10.1016/j.agee.2010.11.018</v>
      </c>
      <c r="BI80" s="30" t="s">
        <v>245</v>
      </c>
      <c r="BJ80" s="30" t="s">
        <v>245</v>
      </c>
      <c r="BK80" s="30" t="s">
        <v>245</v>
      </c>
      <c r="BL80" s="30" t="s">
        <v>245</v>
      </c>
      <c r="BM80" s="30" t="s">
        <v>245</v>
      </c>
      <c r="BN80" s="30" t="s">
        <v>245</v>
      </c>
      <c r="BO80" s="30" t="s">
        <v>245</v>
      </c>
      <c r="BP80" s="30" t="s">
        <v>245</v>
      </c>
      <c r="BQ80" s="30" t="s">
        <v>245</v>
      </c>
      <c r="BR80" s="30" t="s">
        <v>245</v>
      </c>
      <c r="BS80" s="30" t="s">
        <v>245</v>
      </c>
      <c r="BT80" s="30" t="s">
        <v>245</v>
      </c>
      <c r="BU80" s="30" t="s">
        <v>917</v>
      </c>
      <c r="BV80" s="30" t="str">
        <f>HYPERLINK("https%3A%2F%2Fwww.webofscience.com%2Fwos%2Fwoscc%2Ffull-record%2FWOS:000287892400014","View Full Record in Web of Science")</f>
        <v>View Full Record in Web of Science</v>
      </c>
    </row>
    <row r="81" spans="1:74" x14ac:dyDescent="0.2">
      <c r="A81" s="30" t="s">
        <v>243</v>
      </c>
      <c r="B81" s="30" t="s">
        <v>918</v>
      </c>
      <c r="C81" s="30" t="s">
        <v>245</v>
      </c>
      <c r="D81" s="30" t="s">
        <v>245</v>
      </c>
      <c r="E81" s="30" t="s">
        <v>245</v>
      </c>
      <c r="F81" s="30" t="s">
        <v>918</v>
      </c>
      <c r="G81" s="30" t="s">
        <v>245</v>
      </c>
      <c r="H81" s="30" t="s">
        <v>245</v>
      </c>
      <c r="I81" s="30" t="s">
        <v>2823</v>
      </c>
      <c r="K81" s="30" t="s">
        <v>919</v>
      </c>
      <c r="L81" s="30" t="s">
        <v>758</v>
      </c>
      <c r="M81" s="30" t="s">
        <v>245</v>
      </c>
      <c r="N81" s="30" t="s">
        <v>245</v>
      </c>
      <c r="O81" s="30" t="s">
        <v>245</v>
      </c>
      <c r="P81" s="30" t="s">
        <v>245</v>
      </c>
      <c r="Q81" s="30" t="s">
        <v>245</v>
      </c>
      <c r="R81" s="30" t="s">
        <v>245</v>
      </c>
      <c r="S81" s="30" t="s">
        <v>245</v>
      </c>
      <c r="T81" s="30" t="s">
        <v>245</v>
      </c>
      <c r="U81" s="30" t="s">
        <v>245</v>
      </c>
      <c r="V81" s="30" t="s">
        <v>245</v>
      </c>
      <c r="W81" s="30" t="s">
        <v>245</v>
      </c>
      <c r="X81" s="30" t="s">
        <v>245</v>
      </c>
      <c r="Y81" s="30" t="s">
        <v>245</v>
      </c>
      <c r="Z81" s="30" t="s">
        <v>245</v>
      </c>
      <c r="AA81" s="30" t="s">
        <v>245</v>
      </c>
      <c r="AB81" s="30" t="s">
        <v>245</v>
      </c>
      <c r="AC81" s="30" t="s">
        <v>245</v>
      </c>
      <c r="AD81" s="30" t="s">
        <v>245</v>
      </c>
      <c r="AE81" s="30" t="s">
        <v>245</v>
      </c>
      <c r="AF81" s="30" t="s">
        <v>245</v>
      </c>
      <c r="AG81" s="30" t="s">
        <v>245</v>
      </c>
      <c r="AH81" s="30" t="s">
        <v>245</v>
      </c>
      <c r="AI81" s="30" t="s">
        <v>245</v>
      </c>
      <c r="AJ81" s="30" t="s">
        <v>245</v>
      </c>
      <c r="AK81" s="30" t="s">
        <v>245</v>
      </c>
      <c r="AL81" s="30" t="s">
        <v>245</v>
      </c>
      <c r="AM81" s="30" t="s">
        <v>245</v>
      </c>
      <c r="AN81" s="30" t="s">
        <v>245</v>
      </c>
      <c r="AO81" s="30" t="s">
        <v>245</v>
      </c>
      <c r="AP81" s="30" t="s">
        <v>245</v>
      </c>
      <c r="AQ81" s="30" t="s">
        <v>759</v>
      </c>
      <c r="AR81" s="30" t="s">
        <v>822</v>
      </c>
      <c r="AS81" s="30" t="s">
        <v>245</v>
      </c>
      <c r="AT81" s="30" t="s">
        <v>245</v>
      </c>
      <c r="AU81" s="30" t="s">
        <v>245</v>
      </c>
      <c r="AV81" s="30" t="s">
        <v>454</v>
      </c>
      <c r="AW81" s="30">
        <v>1997</v>
      </c>
      <c r="AX81" s="30">
        <v>25</v>
      </c>
      <c r="AY81" s="30">
        <v>3</v>
      </c>
      <c r="AZ81" s="30" t="s">
        <v>245</v>
      </c>
      <c r="BA81" s="30" t="s">
        <v>245</v>
      </c>
      <c r="BB81" s="30" t="s">
        <v>245</v>
      </c>
      <c r="BC81" s="30" t="s">
        <v>245</v>
      </c>
      <c r="BD81" s="30">
        <v>261</v>
      </c>
      <c r="BE81" s="30">
        <v>268</v>
      </c>
      <c r="BF81" s="30" t="s">
        <v>245</v>
      </c>
      <c r="BG81" s="30" t="s">
        <v>920</v>
      </c>
      <c r="BH81" s="30" t="str">
        <f>HYPERLINK("http://dx.doi.org/10.1007/s003740050312","http://dx.doi.org/10.1007/s003740050312")</f>
        <v>http://dx.doi.org/10.1007/s003740050312</v>
      </c>
      <c r="BI81" s="30" t="s">
        <v>245</v>
      </c>
      <c r="BJ81" s="30" t="s">
        <v>245</v>
      </c>
      <c r="BK81" s="30" t="s">
        <v>245</v>
      </c>
      <c r="BL81" s="30" t="s">
        <v>245</v>
      </c>
      <c r="BM81" s="30" t="s">
        <v>245</v>
      </c>
      <c r="BN81" s="30" t="s">
        <v>245</v>
      </c>
      <c r="BO81" s="30" t="s">
        <v>245</v>
      </c>
      <c r="BP81" s="30" t="s">
        <v>245</v>
      </c>
      <c r="BQ81" s="30" t="s">
        <v>245</v>
      </c>
      <c r="BR81" s="30" t="s">
        <v>245</v>
      </c>
      <c r="BS81" s="30" t="s">
        <v>245</v>
      </c>
      <c r="BT81" s="30" t="s">
        <v>245</v>
      </c>
      <c r="BU81" s="30" t="s">
        <v>921</v>
      </c>
      <c r="BV81" s="30" t="str">
        <f>HYPERLINK("https%3A%2F%2Fwww.webofscience.com%2Fwos%2Fwoscc%2Ffull-record%2FWOS:A1997XY71000007","View Full Record in Web of Science")</f>
        <v>View Full Record in Web of Science</v>
      </c>
    </row>
    <row r="82" spans="1:74" x14ac:dyDescent="0.2">
      <c r="A82" s="30" t="s">
        <v>243</v>
      </c>
      <c r="B82" s="30" t="s">
        <v>922</v>
      </c>
      <c r="C82" s="30" t="s">
        <v>245</v>
      </c>
      <c r="D82" s="30" t="s">
        <v>245</v>
      </c>
      <c r="E82" s="30" t="s">
        <v>245</v>
      </c>
      <c r="F82" s="30" t="s">
        <v>923</v>
      </c>
      <c r="G82" s="30" t="s">
        <v>245</v>
      </c>
      <c r="H82" s="30" t="s">
        <v>245</v>
      </c>
      <c r="I82" s="30" t="s">
        <v>2823</v>
      </c>
      <c r="K82" s="30" t="s">
        <v>924</v>
      </c>
      <c r="L82" s="30" t="s">
        <v>925</v>
      </c>
      <c r="M82" s="30" t="s">
        <v>245</v>
      </c>
      <c r="N82" s="30" t="s">
        <v>245</v>
      </c>
      <c r="O82" s="30" t="s">
        <v>245</v>
      </c>
      <c r="P82" s="30" t="s">
        <v>245</v>
      </c>
      <c r="Q82" s="30" t="s">
        <v>245</v>
      </c>
      <c r="R82" s="30" t="s">
        <v>245</v>
      </c>
      <c r="S82" s="30" t="s">
        <v>245</v>
      </c>
      <c r="T82" s="30" t="s">
        <v>245</v>
      </c>
      <c r="U82" s="30" t="s">
        <v>245</v>
      </c>
      <c r="V82" s="30" t="s">
        <v>245</v>
      </c>
      <c r="W82" s="30" t="s">
        <v>245</v>
      </c>
      <c r="X82" s="30" t="s">
        <v>245</v>
      </c>
      <c r="Y82" s="30" t="s">
        <v>245</v>
      </c>
      <c r="Z82" s="30" t="s">
        <v>245</v>
      </c>
      <c r="AA82" s="30" t="s">
        <v>245</v>
      </c>
      <c r="AB82" s="30" t="s">
        <v>245</v>
      </c>
      <c r="AC82" s="30" t="s">
        <v>245</v>
      </c>
      <c r="AD82" s="30" t="s">
        <v>245</v>
      </c>
      <c r="AE82" s="30" t="s">
        <v>245</v>
      </c>
      <c r="AF82" s="30" t="s">
        <v>245</v>
      </c>
      <c r="AG82" s="30" t="s">
        <v>245</v>
      </c>
      <c r="AH82" s="30" t="s">
        <v>245</v>
      </c>
      <c r="AI82" s="30" t="s">
        <v>245</v>
      </c>
      <c r="AJ82" s="30" t="s">
        <v>245</v>
      </c>
      <c r="AK82" s="30" t="s">
        <v>245</v>
      </c>
      <c r="AL82" s="30" t="s">
        <v>245</v>
      </c>
      <c r="AM82" s="30" t="s">
        <v>245</v>
      </c>
      <c r="AN82" s="30" t="s">
        <v>245</v>
      </c>
      <c r="AO82" s="30" t="s">
        <v>245</v>
      </c>
      <c r="AP82" s="30" t="s">
        <v>245</v>
      </c>
      <c r="AQ82" s="30" t="s">
        <v>926</v>
      </c>
      <c r="AR82" s="30" t="s">
        <v>927</v>
      </c>
      <c r="AS82" s="30" t="s">
        <v>245</v>
      </c>
      <c r="AT82" s="30" t="s">
        <v>245</v>
      </c>
      <c r="AU82" s="30" t="s">
        <v>245</v>
      </c>
      <c r="AV82" s="30" t="s">
        <v>265</v>
      </c>
      <c r="AW82" s="30">
        <v>2024</v>
      </c>
      <c r="AX82" s="30">
        <v>18</v>
      </c>
      <c r="AY82" s="30">
        <v>6</v>
      </c>
      <c r="AZ82" s="30" t="s">
        <v>245</v>
      </c>
      <c r="BA82" s="30" t="s">
        <v>245</v>
      </c>
      <c r="BB82" s="30" t="s">
        <v>245</v>
      </c>
      <c r="BC82" s="30" t="s">
        <v>245</v>
      </c>
      <c r="BD82" s="30" t="s">
        <v>245</v>
      </c>
      <c r="BE82" s="30" t="s">
        <v>245</v>
      </c>
      <c r="BF82" s="30">
        <v>77</v>
      </c>
      <c r="BG82" s="30" t="s">
        <v>928</v>
      </c>
      <c r="BH82" s="30" t="str">
        <f>HYPERLINK("http://dx.doi.org/10.1007/s11783-024-1837-4","http://dx.doi.org/10.1007/s11783-024-1837-4")</f>
        <v>http://dx.doi.org/10.1007/s11783-024-1837-4</v>
      </c>
      <c r="BI82" s="30" t="s">
        <v>245</v>
      </c>
      <c r="BJ82" s="30" t="s">
        <v>245</v>
      </c>
      <c r="BK82" s="30" t="s">
        <v>245</v>
      </c>
      <c r="BL82" s="30" t="s">
        <v>245</v>
      </c>
      <c r="BM82" s="30" t="s">
        <v>245</v>
      </c>
      <c r="BN82" s="30" t="s">
        <v>245</v>
      </c>
      <c r="BO82" s="30" t="s">
        <v>245</v>
      </c>
      <c r="BP82" s="30" t="s">
        <v>245</v>
      </c>
      <c r="BQ82" s="30" t="s">
        <v>245</v>
      </c>
      <c r="BR82" s="30" t="s">
        <v>245</v>
      </c>
      <c r="BS82" s="30" t="s">
        <v>245</v>
      </c>
      <c r="BT82" s="30" t="s">
        <v>245</v>
      </c>
      <c r="BU82" s="30" t="s">
        <v>929</v>
      </c>
      <c r="BV82" s="30" t="str">
        <f>HYPERLINK("https%3A%2F%2Fwww.webofscience.com%2Fwos%2Fwoscc%2Ffull-record%2FWOS:001236209300001","View Full Record in Web of Science")</f>
        <v>View Full Record in Web of Science</v>
      </c>
    </row>
    <row r="83" spans="1:74" x14ac:dyDescent="0.2">
      <c r="A83" s="30" t="s">
        <v>243</v>
      </c>
      <c r="B83" s="30" t="s">
        <v>930</v>
      </c>
      <c r="C83" s="30" t="s">
        <v>245</v>
      </c>
      <c r="D83" s="30" t="s">
        <v>245</v>
      </c>
      <c r="E83" s="30" t="s">
        <v>245</v>
      </c>
      <c r="F83" s="30" t="s">
        <v>931</v>
      </c>
      <c r="G83" s="30" t="s">
        <v>245</v>
      </c>
      <c r="H83" s="30" t="s">
        <v>245</v>
      </c>
      <c r="I83" s="30" t="s">
        <v>2823</v>
      </c>
      <c r="K83" s="30" t="s">
        <v>932</v>
      </c>
      <c r="L83" s="30" t="s">
        <v>933</v>
      </c>
      <c r="M83" s="30" t="s">
        <v>245</v>
      </c>
      <c r="N83" s="30" t="s">
        <v>245</v>
      </c>
      <c r="O83" s="30" t="s">
        <v>245</v>
      </c>
      <c r="P83" s="30" t="s">
        <v>245</v>
      </c>
      <c r="Q83" s="30" t="s">
        <v>245</v>
      </c>
      <c r="R83" s="30" t="s">
        <v>245</v>
      </c>
      <c r="S83" s="30" t="s">
        <v>245</v>
      </c>
      <c r="T83" s="30" t="s">
        <v>245</v>
      </c>
      <c r="U83" s="30" t="s">
        <v>245</v>
      </c>
      <c r="V83" s="30" t="s">
        <v>245</v>
      </c>
      <c r="W83" s="30" t="s">
        <v>245</v>
      </c>
      <c r="X83" s="30" t="s">
        <v>245</v>
      </c>
      <c r="Y83" s="30" t="s">
        <v>245</v>
      </c>
      <c r="Z83" s="30" t="s">
        <v>245</v>
      </c>
      <c r="AA83" s="30" t="s">
        <v>245</v>
      </c>
      <c r="AB83" s="30" t="s">
        <v>245</v>
      </c>
      <c r="AC83" s="30" t="s">
        <v>934</v>
      </c>
      <c r="AD83" s="30" t="s">
        <v>935</v>
      </c>
      <c r="AE83" s="30" t="s">
        <v>245</v>
      </c>
      <c r="AF83" s="30" t="s">
        <v>245</v>
      </c>
      <c r="AG83" s="30" t="s">
        <v>245</v>
      </c>
      <c r="AH83" s="30" t="s">
        <v>245</v>
      </c>
      <c r="AI83" s="30" t="s">
        <v>245</v>
      </c>
      <c r="AJ83" s="30" t="s">
        <v>245</v>
      </c>
      <c r="AK83" s="30" t="s">
        <v>245</v>
      </c>
      <c r="AL83" s="30" t="s">
        <v>245</v>
      </c>
      <c r="AM83" s="30" t="s">
        <v>245</v>
      </c>
      <c r="AN83" s="30" t="s">
        <v>245</v>
      </c>
      <c r="AO83" s="30" t="s">
        <v>245</v>
      </c>
      <c r="AP83" s="30" t="s">
        <v>245</v>
      </c>
      <c r="AQ83" s="30" t="s">
        <v>936</v>
      </c>
      <c r="AR83" s="30" t="s">
        <v>937</v>
      </c>
      <c r="AS83" s="30" t="s">
        <v>245</v>
      </c>
      <c r="AT83" s="30" t="s">
        <v>245</v>
      </c>
      <c r="AU83" s="30" t="s">
        <v>245</v>
      </c>
      <c r="AV83" s="30" t="s">
        <v>354</v>
      </c>
      <c r="AW83" s="30">
        <v>2025</v>
      </c>
      <c r="AX83" s="30">
        <v>315</v>
      </c>
      <c r="AY83" s="30" t="s">
        <v>245</v>
      </c>
      <c r="AZ83" s="30" t="s">
        <v>245</v>
      </c>
      <c r="BA83" s="30" t="s">
        <v>245</v>
      </c>
      <c r="BB83" s="30" t="s">
        <v>245</v>
      </c>
      <c r="BC83" s="30" t="s">
        <v>245</v>
      </c>
      <c r="BD83" s="30" t="s">
        <v>245</v>
      </c>
      <c r="BE83" s="30" t="s">
        <v>245</v>
      </c>
      <c r="BF83" s="30">
        <v>109124</v>
      </c>
      <c r="BG83" s="30" t="s">
        <v>938</v>
      </c>
      <c r="BH83" s="30" t="str">
        <f>HYPERLINK("http://dx.doi.org/10.1016/j.ecss.2025.109124","http://dx.doi.org/10.1016/j.ecss.2025.109124")</f>
        <v>http://dx.doi.org/10.1016/j.ecss.2025.109124</v>
      </c>
      <c r="BI83" s="30" t="s">
        <v>245</v>
      </c>
      <c r="BJ83" s="30" t="s">
        <v>939</v>
      </c>
      <c r="BK83" s="30" t="s">
        <v>245</v>
      </c>
      <c r="BL83" s="30" t="s">
        <v>245</v>
      </c>
      <c r="BM83" s="30" t="s">
        <v>245</v>
      </c>
      <c r="BN83" s="30" t="s">
        <v>245</v>
      </c>
      <c r="BO83" s="30" t="s">
        <v>245</v>
      </c>
      <c r="BP83" s="30" t="s">
        <v>245</v>
      </c>
      <c r="BQ83" s="30" t="s">
        <v>245</v>
      </c>
      <c r="BR83" s="30" t="s">
        <v>245</v>
      </c>
      <c r="BS83" s="30" t="s">
        <v>245</v>
      </c>
      <c r="BT83" s="30" t="s">
        <v>245</v>
      </c>
      <c r="BU83" s="30" t="s">
        <v>940</v>
      </c>
      <c r="BV83" s="30" t="str">
        <f>HYPERLINK("https%3A%2F%2Fwww.webofscience.com%2Fwos%2Fwoscc%2Ffull-record%2FWOS:001422879700001","View Full Record in Web of Science")</f>
        <v>View Full Record in Web of Science</v>
      </c>
    </row>
    <row r="84" spans="1:74" x14ac:dyDescent="0.2">
      <c r="A84" s="30" t="s">
        <v>243</v>
      </c>
      <c r="B84" s="30" t="s">
        <v>941</v>
      </c>
      <c r="C84" s="30" t="s">
        <v>245</v>
      </c>
      <c r="D84" s="30" t="s">
        <v>245</v>
      </c>
      <c r="E84" s="30" t="s">
        <v>245</v>
      </c>
      <c r="F84" s="30" t="s">
        <v>942</v>
      </c>
      <c r="G84" s="30" t="s">
        <v>245</v>
      </c>
      <c r="H84" s="30" t="s">
        <v>245</v>
      </c>
      <c r="I84" s="30" t="s">
        <v>2829</v>
      </c>
      <c r="K84" s="30" t="s">
        <v>943</v>
      </c>
      <c r="L84" s="30" t="s">
        <v>944</v>
      </c>
      <c r="M84" s="30" t="s">
        <v>245</v>
      </c>
      <c r="N84" s="30" t="s">
        <v>245</v>
      </c>
      <c r="O84" s="30" t="s">
        <v>245</v>
      </c>
      <c r="P84" s="30" t="s">
        <v>245</v>
      </c>
      <c r="Q84" s="30" t="s">
        <v>245</v>
      </c>
      <c r="R84" s="30" t="s">
        <v>245</v>
      </c>
      <c r="S84" s="30" t="s">
        <v>245</v>
      </c>
      <c r="T84" s="30" t="s">
        <v>245</v>
      </c>
      <c r="U84" s="30" t="s">
        <v>245</v>
      </c>
      <c r="V84" s="30" t="s">
        <v>245</v>
      </c>
      <c r="W84" s="30" t="s">
        <v>245</v>
      </c>
      <c r="X84" s="30" t="s">
        <v>245</v>
      </c>
      <c r="Y84" s="30" t="s">
        <v>245</v>
      </c>
      <c r="Z84" s="30" t="s">
        <v>245</v>
      </c>
      <c r="AA84" s="30" t="s">
        <v>245</v>
      </c>
      <c r="AB84" s="30" t="s">
        <v>245</v>
      </c>
      <c r="AC84" s="30" t="s">
        <v>945</v>
      </c>
      <c r="AD84" s="30" t="s">
        <v>946</v>
      </c>
      <c r="AE84" s="30" t="s">
        <v>245</v>
      </c>
      <c r="AF84" s="30" t="s">
        <v>245</v>
      </c>
      <c r="AG84" s="30" t="s">
        <v>245</v>
      </c>
      <c r="AH84" s="30" t="s">
        <v>245</v>
      </c>
      <c r="AI84" s="30" t="s">
        <v>245</v>
      </c>
      <c r="AJ84" s="30" t="s">
        <v>245</v>
      </c>
      <c r="AK84" s="30" t="s">
        <v>245</v>
      </c>
      <c r="AL84" s="30" t="s">
        <v>245</v>
      </c>
      <c r="AM84" s="30" t="s">
        <v>245</v>
      </c>
      <c r="AN84" s="30" t="s">
        <v>245</v>
      </c>
      <c r="AO84" s="30" t="s">
        <v>245</v>
      </c>
      <c r="AP84" s="30" t="s">
        <v>245</v>
      </c>
      <c r="AQ84" s="30" t="s">
        <v>245</v>
      </c>
      <c r="AR84" s="30" t="s">
        <v>947</v>
      </c>
      <c r="AS84" s="30" t="s">
        <v>245</v>
      </c>
      <c r="AT84" s="30" t="s">
        <v>245</v>
      </c>
      <c r="AU84" s="30" t="s">
        <v>245</v>
      </c>
      <c r="AV84" s="30" t="s">
        <v>297</v>
      </c>
      <c r="AW84" s="30">
        <v>2022</v>
      </c>
      <c r="AX84" s="30">
        <v>14</v>
      </c>
      <c r="AY84" s="30">
        <v>19</v>
      </c>
      <c r="AZ84" s="30" t="s">
        <v>245</v>
      </c>
      <c r="BA84" s="30" t="s">
        <v>245</v>
      </c>
      <c r="BB84" s="30" t="s">
        <v>245</v>
      </c>
      <c r="BC84" s="30" t="s">
        <v>245</v>
      </c>
      <c r="BD84" s="30" t="s">
        <v>245</v>
      </c>
      <c r="BE84" s="30" t="s">
        <v>245</v>
      </c>
      <c r="BF84" s="30">
        <v>11876</v>
      </c>
      <c r="BG84" s="30" t="s">
        <v>948</v>
      </c>
      <c r="BH84" s="30" t="str">
        <f>HYPERLINK("http://dx.doi.org/10.3390/su141911876","http://dx.doi.org/10.3390/su141911876")</f>
        <v>http://dx.doi.org/10.3390/su141911876</v>
      </c>
      <c r="BI84" s="30" t="s">
        <v>245</v>
      </c>
      <c r="BJ84" s="30" t="s">
        <v>245</v>
      </c>
      <c r="BK84" s="30" t="s">
        <v>245</v>
      </c>
      <c r="BL84" s="30" t="s">
        <v>245</v>
      </c>
      <c r="BM84" s="30" t="s">
        <v>245</v>
      </c>
      <c r="BN84" s="30" t="s">
        <v>245</v>
      </c>
      <c r="BO84" s="30" t="s">
        <v>245</v>
      </c>
      <c r="BP84" s="30" t="s">
        <v>245</v>
      </c>
      <c r="BQ84" s="30" t="s">
        <v>245</v>
      </c>
      <c r="BR84" s="30" t="s">
        <v>245</v>
      </c>
      <c r="BS84" s="30" t="s">
        <v>245</v>
      </c>
      <c r="BT84" s="30" t="s">
        <v>245</v>
      </c>
      <c r="BU84" s="30" t="s">
        <v>949</v>
      </c>
      <c r="BV84" s="30" t="str">
        <f>HYPERLINK("https%3A%2F%2Fwww.webofscience.com%2Fwos%2Fwoscc%2Ffull-record%2FWOS:000867344700001","View Full Record in Web of Science")</f>
        <v>View Full Record in Web of Science</v>
      </c>
    </row>
    <row r="85" spans="1:74" x14ac:dyDescent="0.2">
      <c r="A85" s="30" t="s">
        <v>243</v>
      </c>
      <c r="B85" s="30" t="s">
        <v>950</v>
      </c>
      <c r="C85" s="30" t="s">
        <v>245</v>
      </c>
      <c r="D85" s="30" t="s">
        <v>245</v>
      </c>
      <c r="E85" s="30" t="s">
        <v>245</v>
      </c>
      <c r="F85" s="30" t="s">
        <v>951</v>
      </c>
      <c r="G85" s="30" t="s">
        <v>245</v>
      </c>
      <c r="H85" s="30" t="s">
        <v>245</v>
      </c>
      <c r="K85" s="30" t="s">
        <v>100</v>
      </c>
      <c r="L85" s="30" t="s">
        <v>952</v>
      </c>
      <c r="M85" s="30" t="s">
        <v>245</v>
      </c>
      <c r="N85" s="30" t="s">
        <v>245</v>
      </c>
      <c r="O85" s="30" t="s">
        <v>245</v>
      </c>
      <c r="P85" s="30" t="s">
        <v>245</v>
      </c>
      <c r="Q85" s="30" t="s">
        <v>245</v>
      </c>
      <c r="R85" s="30" t="s">
        <v>245</v>
      </c>
      <c r="S85" s="30" t="s">
        <v>245</v>
      </c>
      <c r="T85" s="30" t="s">
        <v>245</v>
      </c>
      <c r="U85" s="30" t="s">
        <v>245</v>
      </c>
      <c r="V85" s="30" t="s">
        <v>245</v>
      </c>
      <c r="W85" s="30" t="s">
        <v>245</v>
      </c>
      <c r="X85" s="30" t="s">
        <v>245</v>
      </c>
      <c r="Y85" s="30" t="s">
        <v>245</v>
      </c>
      <c r="Z85" s="30" t="s">
        <v>245</v>
      </c>
      <c r="AA85" s="30" t="s">
        <v>245</v>
      </c>
      <c r="AB85" s="30" t="s">
        <v>245</v>
      </c>
      <c r="AC85" s="30" t="s">
        <v>953</v>
      </c>
      <c r="AD85" s="30" t="s">
        <v>954</v>
      </c>
      <c r="AE85" s="30" t="s">
        <v>245</v>
      </c>
      <c r="AF85" s="30" t="s">
        <v>245</v>
      </c>
      <c r="AG85" s="30" t="s">
        <v>245</v>
      </c>
      <c r="AH85" s="30" t="s">
        <v>245</v>
      </c>
      <c r="AI85" s="30" t="s">
        <v>245</v>
      </c>
      <c r="AJ85" s="30" t="s">
        <v>245</v>
      </c>
      <c r="AK85" s="30" t="s">
        <v>245</v>
      </c>
      <c r="AL85" s="30" t="s">
        <v>245</v>
      </c>
      <c r="AM85" s="30" t="s">
        <v>245</v>
      </c>
      <c r="AN85" s="30" t="s">
        <v>245</v>
      </c>
      <c r="AO85" s="30" t="s">
        <v>245</v>
      </c>
      <c r="AP85" s="30" t="s">
        <v>245</v>
      </c>
      <c r="AQ85" s="30" t="s">
        <v>955</v>
      </c>
      <c r="AR85" s="30" t="s">
        <v>956</v>
      </c>
      <c r="AS85" s="30" t="s">
        <v>245</v>
      </c>
      <c r="AT85" s="30" t="s">
        <v>245</v>
      </c>
      <c r="AU85" s="30" t="s">
        <v>245</v>
      </c>
      <c r="AV85" s="30" t="s">
        <v>957</v>
      </c>
      <c r="AW85" s="30">
        <v>2024</v>
      </c>
      <c r="AX85" s="30">
        <v>318</v>
      </c>
      <c r="AY85" s="30" t="s">
        <v>245</v>
      </c>
      <c r="AZ85" s="30" t="s">
        <v>245</v>
      </c>
      <c r="BA85" s="30" t="s">
        <v>245</v>
      </c>
      <c r="BB85" s="30" t="s">
        <v>245</v>
      </c>
      <c r="BC85" s="30" t="s">
        <v>245</v>
      </c>
      <c r="BD85" s="30" t="s">
        <v>245</v>
      </c>
      <c r="BE85" s="30" t="s">
        <v>245</v>
      </c>
      <c r="BF85" s="30">
        <v>109591</v>
      </c>
      <c r="BG85" s="30" t="s">
        <v>958</v>
      </c>
      <c r="BH85" s="30" t="str">
        <f>HYPERLINK("http://dx.doi.org/10.1016/j.fcr.2024.109591","http://dx.doi.org/10.1016/j.fcr.2024.109591")</f>
        <v>http://dx.doi.org/10.1016/j.fcr.2024.109591</v>
      </c>
      <c r="BI85" s="30" t="s">
        <v>245</v>
      </c>
      <c r="BJ85" s="30" t="s">
        <v>959</v>
      </c>
      <c r="BK85" s="30" t="s">
        <v>245</v>
      </c>
      <c r="BL85" s="30" t="s">
        <v>245</v>
      </c>
      <c r="BM85" s="30" t="s">
        <v>245</v>
      </c>
      <c r="BN85" s="30" t="s">
        <v>245</v>
      </c>
      <c r="BO85" s="30" t="s">
        <v>245</v>
      </c>
      <c r="BP85" s="30" t="s">
        <v>245</v>
      </c>
      <c r="BQ85" s="30" t="s">
        <v>245</v>
      </c>
      <c r="BR85" s="30" t="s">
        <v>245</v>
      </c>
      <c r="BS85" s="30" t="s">
        <v>245</v>
      </c>
      <c r="BT85" s="30" t="s">
        <v>245</v>
      </c>
      <c r="BU85" s="30" t="s">
        <v>960</v>
      </c>
      <c r="BV85" s="30" t="str">
        <f>HYPERLINK("https%3A%2F%2Fwww.webofscience.com%2Fwos%2Fwoscc%2Ffull-record%2FWOS:001325231600001","View Full Record in Web of Science")</f>
        <v>View Full Record in Web of Science</v>
      </c>
    </row>
    <row r="86" spans="1:74" x14ac:dyDescent="0.2">
      <c r="A86" s="30" t="s">
        <v>243</v>
      </c>
      <c r="B86" s="30" t="s">
        <v>961</v>
      </c>
      <c r="C86" s="30" t="s">
        <v>245</v>
      </c>
      <c r="D86" s="30" t="s">
        <v>245</v>
      </c>
      <c r="E86" s="30" t="s">
        <v>245</v>
      </c>
      <c r="F86" s="30" t="s">
        <v>962</v>
      </c>
      <c r="G86" s="30" t="s">
        <v>245</v>
      </c>
      <c r="H86" s="30" t="s">
        <v>245</v>
      </c>
      <c r="I86" s="30" t="s">
        <v>2819</v>
      </c>
      <c r="K86" s="30" t="s">
        <v>963</v>
      </c>
      <c r="L86" s="30" t="s">
        <v>964</v>
      </c>
      <c r="M86" s="30" t="s">
        <v>245</v>
      </c>
      <c r="N86" s="30" t="s">
        <v>245</v>
      </c>
      <c r="O86" s="30" t="s">
        <v>245</v>
      </c>
      <c r="P86" s="30" t="s">
        <v>245</v>
      </c>
      <c r="Q86" s="30" t="s">
        <v>245</v>
      </c>
      <c r="R86" s="30" t="s">
        <v>245</v>
      </c>
      <c r="S86" s="30" t="s">
        <v>245</v>
      </c>
      <c r="T86" s="30" t="s">
        <v>245</v>
      </c>
      <c r="U86" s="30" t="s">
        <v>245</v>
      </c>
      <c r="V86" s="30" t="s">
        <v>245</v>
      </c>
      <c r="W86" s="30" t="s">
        <v>245</v>
      </c>
      <c r="X86" s="30" t="s">
        <v>245</v>
      </c>
      <c r="Y86" s="30" t="s">
        <v>245</v>
      </c>
      <c r="Z86" s="30" t="s">
        <v>245</v>
      </c>
      <c r="AA86" s="30" t="s">
        <v>245</v>
      </c>
      <c r="AB86" s="30" t="s">
        <v>245</v>
      </c>
      <c r="AC86" s="30" t="s">
        <v>965</v>
      </c>
      <c r="AD86" s="30" t="s">
        <v>966</v>
      </c>
      <c r="AE86" s="30" t="s">
        <v>245</v>
      </c>
      <c r="AF86" s="30" t="s">
        <v>245</v>
      </c>
      <c r="AG86" s="30" t="s">
        <v>245</v>
      </c>
      <c r="AH86" s="30" t="s">
        <v>245</v>
      </c>
      <c r="AI86" s="30" t="s">
        <v>245</v>
      </c>
      <c r="AJ86" s="30" t="s">
        <v>245</v>
      </c>
      <c r="AK86" s="30" t="s">
        <v>245</v>
      </c>
      <c r="AL86" s="30" t="s">
        <v>245</v>
      </c>
      <c r="AM86" s="30" t="s">
        <v>245</v>
      </c>
      <c r="AN86" s="30" t="s">
        <v>245</v>
      </c>
      <c r="AO86" s="30" t="s">
        <v>245</v>
      </c>
      <c r="AP86" s="30" t="s">
        <v>245</v>
      </c>
      <c r="AQ86" s="30" t="s">
        <v>245</v>
      </c>
      <c r="AR86" s="30" t="s">
        <v>967</v>
      </c>
      <c r="AS86" s="30" t="s">
        <v>245</v>
      </c>
      <c r="AT86" s="30" t="s">
        <v>245</v>
      </c>
      <c r="AU86" s="30" t="s">
        <v>245</v>
      </c>
      <c r="AV86" s="30" t="s">
        <v>968</v>
      </c>
      <c r="AW86" s="30">
        <v>2024</v>
      </c>
      <c r="AX86" s="30">
        <v>4</v>
      </c>
      <c r="AY86" s="30">
        <v>1</v>
      </c>
      <c r="AZ86" s="30" t="s">
        <v>245</v>
      </c>
      <c r="BA86" s="30" t="s">
        <v>245</v>
      </c>
      <c r="BB86" s="30" t="s">
        <v>245</v>
      </c>
      <c r="BC86" s="30" t="s">
        <v>245</v>
      </c>
      <c r="BD86" s="30" t="s">
        <v>245</v>
      </c>
      <c r="BE86" s="30" t="s">
        <v>245</v>
      </c>
      <c r="BF86" s="30" t="s">
        <v>969</v>
      </c>
      <c r="BG86" s="30" t="s">
        <v>970</v>
      </c>
      <c r="BH86" s="30" t="str">
        <f>HYPERLINK("http://dx.doi.org/10.1093/ismeco/ycae040","http://dx.doi.org/10.1093/ismeco/ycae040")</f>
        <v>http://dx.doi.org/10.1093/ismeco/ycae040</v>
      </c>
      <c r="BI86" s="30" t="s">
        <v>245</v>
      </c>
      <c r="BJ86" s="30" t="s">
        <v>887</v>
      </c>
      <c r="BK86" s="30" t="s">
        <v>245</v>
      </c>
      <c r="BL86" s="30" t="s">
        <v>245</v>
      </c>
      <c r="BM86" s="30" t="s">
        <v>245</v>
      </c>
      <c r="BN86" s="30" t="s">
        <v>245</v>
      </c>
      <c r="BO86" s="30" t="s">
        <v>245</v>
      </c>
      <c r="BP86" s="30">
        <v>38628812</v>
      </c>
      <c r="BQ86" s="30" t="s">
        <v>245</v>
      </c>
      <c r="BR86" s="30" t="s">
        <v>245</v>
      </c>
      <c r="BS86" s="30" t="s">
        <v>245</v>
      </c>
      <c r="BT86" s="30" t="s">
        <v>245</v>
      </c>
      <c r="BU86" s="30" t="s">
        <v>971</v>
      </c>
      <c r="BV86" s="30" t="str">
        <f>HYPERLINK("https%3A%2F%2Fwww.webofscience.com%2Fwos%2Fwoscc%2Ffull-record%2FWOS:001273455400001","View Full Record in Web of Science")</f>
        <v>View Full Record in Web of Science</v>
      </c>
    </row>
    <row r="87" spans="1:74" x14ac:dyDescent="0.2">
      <c r="A87" s="30" t="s">
        <v>243</v>
      </c>
      <c r="B87" s="30" t="s">
        <v>972</v>
      </c>
      <c r="C87" s="30" t="s">
        <v>245</v>
      </c>
      <c r="D87" s="30" t="s">
        <v>245</v>
      </c>
      <c r="E87" s="30" t="s">
        <v>245</v>
      </c>
      <c r="F87" s="30" t="s">
        <v>973</v>
      </c>
      <c r="G87" s="30" t="s">
        <v>245</v>
      </c>
      <c r="H87" s="30" t="s">
        <v>245</v>
      </c>
      <c r="I87" s="30" t="s">
        <v>2821</v>
      </c>
      <c r="K87" s="30" t="s">
        <v>974</v>
      </c>
      <c r="L87" s="30" t="s">
        <v>282</v>
      </c>
      <c r="M87" s="30" t="s">
        <v>245</v>
      </c>
      <c r="N87" s="30" t="s">
        <v>245</v>
      </c>
      <c r="O87" s="30" t="s">
        <v>245</v>
      </c>
      <c r="P87" s="30" t="s">
        <v>245</v>
      </c>
      <c r="Q87" s="30" t="s">
        <v>245</v>
      </c>
      <c r="R87" s="30" t="s">
        <v>245</v>
      </c>
      <c r="S87" s="30" t="s">
        <v>245</v>
      </c>
      <c r="T87" s="30" t="s">
        <v>245</v>
      </c>
      <c r="U87" s="30" t="s">
        <v>245</v>
      </c>
      <c r="V87" s="30" t="s">
        <v>245</v>
      </c>
      <c r="W87" s="30" t="s">
        <v>245</v>
      </c>
      <c r="X87" s="30" t="s">
        <v>245</v>
      </c>
      <c r="Y87" s="30" t="s">
        <v>245</v>
      </c>
      <c r="Z87" s="30" t="s">
        <v>245</v>
      </c>
      <c r="AA87" s="30" t="s">
        <v>245</v>
      </c>
      <c r="AB87" s="30" t="s">
        <v>245</v>
      </c>
      <c r="AC87" s="30" t="s">
        <v>975</v>
      </c>
      <c r="AD87" s="30" t="s">
        <v>976</v>
      </c>
      <c r="AE87" s="30" t="s">
        <v>245</v>
      </c>
      <c r="AF87" s="30" t="s">
        <v>245</v>
      </c>
      <c r="AG87" s="30" t="s">
        <v>245</v>
      </c>
      <c r="AH87" s="30" t="s">
        <v>245</v>
      </c>
      <c r="AI87" s="30" t="s">
        <v>245</v>
      </c>
      <c r="AJ87" s="30" t="s">
        <v>245</v>
      </c>
      <c r="AK87" s="30" t="s">
        <v>245</v>
      </c>
      <c r="AL87" s="30" t="s">
        <v>245</v>
      </c>
      <c r="AM87" s="30" t="s">
        <v>245</v>
      </c>
      <c r="AN87" s="30" t="s">
        <v>245</v>
      </c>
      <c r="AO87" s="30" t="s">
        <v>245</v>
      </c>
      <c r="AP87" s="30" t="s">
        <v>245</v>
      </c>
      <c r="AQ87" s="30" t="s">
        <v>285</v>
      </c>
      <c r="AR87" s="30" t="s">
        <v>245</v>
      </c>
      <c r="AS87" s="30" t="s">
        <v>245</v>
      </c>
      <c r="AT87" s="30" t="s">
        <v>245</v>
      </c>
      <c r="AU87" s="30" t="s">
        <v>245</v>
      </c>
      <c r="AV87" s="30" t="s">
        <v>646</v>
      </c>
      <c r="AW87" s="30">
        <v>2008</v>
      </c>
      <c r="AX87" s="30">
        <v>40</v>
      </c>
      <c r="AY87" s="30">
        <v>7</v>
      </c>
      <c r="AZ87" s="30" t="s">
        <v>245</v>
      </c>
      <c r="BA87" s="30" t="s">
        <v>245</v>
      </c>
      <c r="BB87" s="30" t="s">
        <v>245</v>
      </c>
      <c r="BC87" s="30" t="s">
        <v>245</v>
      </c>
      <c r="BD87" s="30">
        <v>1698</v>
      </c>
      <c r="BE87" s="30">
        <v>1706</v>
      </c>
      <c r="BF87" s="30" t="s">
        <v>245</v>
      </c>
      <c r="BG87" s="30" t="s">
        <v>977</v>
      </c>
      <c r="BH87" s="30" t="str">
        <f>HYPERLINK("http://dx.doi.org/10.1016/j.soilbio.2008.02.005","http://dx.doi.org/10.1016/j.soilbio.2008.02.005")</f>
        <v>http://dx.doi.org/10.1016/j.soilbio.2008.02.005</v>
      </c>
      <c r="BI87" s="30" t="s">
        <v>245</v>
      </c>
      <c r="BJ87" s="30" t="s">
        <v>245</v>
      </c>
      <c r="BK87" s="30" t="s">
        <v>245</v>
      </c>
      <c r="BL87" s="30" t="s">
        <v>245</v>
      </c>
      <c r="BM87" s="30" t="s">
        <v>245</v>
      </c>
      <c r="BN87" s="30" t="s">
        <v>245</v>
      </c>
      <c r="BO87" s="30" t="s">
        <v>245</v>
      </c>
      <c r="BP87" s="30" t="s">
        <v>245</v>
      </c>
      <c r="BQ87" s="30" t="s">
        <v>245</v>
      </c>
      <c r="BR87" s="30" t="s">
        <v>245</v>
      </c>
      <c r="BS87" s="30" t="s">
        <v>245</v>
      </c>
      <c r="BT87" s="30" t="s">
        <v>245</v>
      </c>
      <c r="BU87" s="30" t="s">
        <v>978</v>
      </c>
      <c r="BV87" s="30" t="str">
        <f>HYPERLINK("https%3A%2F%2Fwww.webofscience.com%2Fwos%2Fwoscc%2Ffull-record%2FWOS:000257616100018","View Full Record in Web of Science")</f>
        <v>View Full Record in Web of Science</v>
      </c>
    </row>
    <row r="88" spans="1:74" x14ac:dyDescent="0.2">
      <c r="A88" s="30" t="s">
        <v>243</v>
      </c>
      <c r="B88" s="30" t="s">
        <v>979</v>
      </c>
      <c r="C88" s="30" t="s">
        <v>245</v>
      </c>
      <c r="D88" s="30" t="s">
        <v>245</v>
      </c>
      <c r="E88" s="30" t="s">
        <v>245</v>
      </c>
      <c r="F88" s="30" t="s">
        <v>979</v>
      </c>
      <c r="G88" s="30" t="s">
        <v>245</v>
      </c>
      <c r="H88" s="30" t="s">
        <v>245</v>
      </c>
      <c r="I88" s="30" t="s">
        <v>2819</v>
      </c>
      <c r="K88" s="30" t="s">
        <v>980</v>
      </c>
      <c r="L88" s="30" t="s">
        <v>282</v>
      </c>
      <c r="M88" s="30" t="s">
        <v>245</v>
      </c>
      <c r="N88" s="30" t="s">
        <v>245</v>
      </c>
      <c r="O88" s="30" t="s">
        <v>245</v>
      </c>
      <c r="P88" s="30" t="s">
        <v>245</v>
      </c>
      <c r="Q88" s="30" t="s">
        <v>245</v>
      </c>
      <c r="R88" s="30" t="s">
        <v>245</v>
      </c>
      <c r="S88" s="30" t="s">
        <v>245</v>
      </c>
      <c r="T88" s="30" t="s">
        <v>245</v>
      </c>
      <c r="U88" s="30" t="s">
        <v>245</v>
      </c>
      <c r="V88" s="30" t="s">
        <v>245</v>
      </c>
      <c r="W88" s="30" t="s">
        <v>245</v>
      </c>
      <c r="X88" s="30" t="s">
        <v>245</v>
      </c>
      <c r="Y88" s="30" t="s">
        <v>245</v>
      </c>
      <c r="Z88" s="30" t="s">
        <v>245</v>
      </c>
      <c r="AA88" s="30" t="s">
        <v>245</v>
      </c>
      <c r="AB88" s="30" t="s">
        <v>245</v>
      </c>
      <c r="AC88" s="30" t="s">
        <v>981</v>
      </c>
      <c r="AD88" s="30" t="s">
        <v>245</v>
      </c>
      <c r="AE88" s="30" t="s">
        <v>245</v>
      </c>
      <c r="AF88" s="30" t="s">
        <v>245</v>
      </c>
      <c r="AG88" s="30" t="s">
        <v>245</v>
      </c>
      <c r="AH88" s="30" t="s">
        <v>245</v>
      </c>
      <c r="AI88" s="30" t="s">
        <v>245</v>
      </c>
      <c r="AJ88" s="30" t="s">
        <v>245</v>
      </c>
      <c r="AK88" s="30" t="s">
        <v>245</v>
      </c>
      <c r="AL88" s="30" t="s">
        <v>245</v>
      </c>
      <c r="AM88" s="30" t="s">
        <v>245</v>
      </c>
      <c r="AN88" s="30" t="s">
        <v>245</v>
      </c>
      <c r="AO88" s="30" t="s">
        <v>245</v>
      </c>
      <c r="AP88" s="30" t="s">
        <v>245</v>
      </c>
      <c r="AQ88" s="30" t="s">
        <v>285</v>
      </c>
      <c r="AR88" s="30" t="s">
        <v>370</v>
      </c>
      <c r="AS88" s="30" t="s">
        <v>245</v>
      </c>
      <c r="AT88" s="30" t="s">
        <v>245</v>
      </c>
      <c r="AU88" s="30" t="s">
        <v>245</v>
      </c>
      <c r="AV88" s="30" t="s">
        <v>297</v>
      </c>
      <c r="AW88" s="30">
        <v>1993</v>
      </c>
      <c r="AX88" s="30">
        <v>25</v>
      </c>
      <c r="AY88" s="30">
        <v>10</v>
      </c>
      <c r="AZ88" s="30" t="s">
        <v>245</v>
      </c>
      <c r="BA88" s="30" t="s">
        <v>245</v>
      </c>
      <c r="BB88" s="30" t="s">
        <v>245</v>
      </c>
      <c r="BC88" s="30" t="s">
        <v>245</v>
      </c>
      <c r="BD88" s="30">
        <v>1415</v>
      </c>
      <c r="BE88" s="30">
        <v>1421</v>
      </c>
      <c r="BF88" s="30" t="s">
        <v>245</v>
      </c>
      <c r="BG88" s="30" t="s">
        <v>982</v>
      </c>
      <c r="BH88" s="30" t="str">
        <f>HYPERLINK("http://dx.doi.org/10.1016/0038-0717(93)90056-H","http://dx.doi.org/10.1016/0038-0717(93)90056-H")</f>
        <v>http://dx.doi.org/10.1016/0038-0717(93)90056-H</v>
      </c>
      <c r="BI88" s="30" t="s">
        <v>245</v>
      </c>
      <c r="BJ88" s="30" t="s">
        <v>245</v>
      </c>
      <c r="BK88" s="30" t="s">
        <v>245</v>
      </c>
      <c r="BL88" s="30" t="s">
        <v>245</v>
      </c>
      <c r="BM88" s="30" t="s">
        <v>245</v>
      </c>
      <c r="BN88" s="30" t="s">
        <v>245</v>
      </c>
      <c r="BO88" s="30" t="s">
        <v>245</v>
      </c>
      <c r="BP88" s="30" t="s">
        <v>245</v>
      </c>
      <c r="BQ88" s="30" t="s">
        <v>245</v>
      </c>
      <c r="BR88" s="30" t="s">
        <v>245</v>
      </c>
      <c r="BS88" s="30" t="s">
        <v>245</v>
      </c>
      <c r="BT88" s="30" t="s">
        <v>245</v>
      </c>
      <c r="BU88" s="30" t="s">
        <v>983</v>
      </c>
      <c r="BV88" s="30" t="str">
        <f>HYPERLINK("https%3A%2F%2Fwww.webofscience.com%2Fwos%2Fwoscc%2Ffull-record%2FWOS:A1993LZ39600012","View Full Record in Web of Science")</f>
        <v>View Full Record in Web of Science</v>
      </c>
    </row>
    <row r="89" spans="1:74" x14ac:dyDescent="0.2">
      <c r="A89" s="30" t="s">
        <v>243</v>
      </c>
      <c r="B89" s="30" t="s">
        <v>984</v>
      </c>
      <c r="C89" s="30" t="s">
        <v>245</v>
      </c>
      <c r="D89" s="30" t="s">
        <v>245</v>
      </c>
      <c r="E89" s="30" t="s">
        <v>245</v>
      </c>
      <c r="F89" s="30" t="s">
        <v>984</v>
      </c>
      <c r="G89" s="30" t="s">
        <v>245</v>
      </c>
      <c r="H89" s="30" t="s">
        <v>245</v>
      </c>
      <c r="I89" s="30" t="s">
        <v>2819</v>
      </c>
      <c r="K89" s="30" t="s">
        <v>985</v>
      </c>
      <c r="L89" s="30" t="s">
        <v>986</v>
      </c>
      <c r="M89" s="30" t="s">
        <v>245</v>
      </c>
      <c r="N89" s="30" t="s">
        <v>245</v>
      </c>
      <c r="O89" s="30" t="s">
        <v>245</v>
      </c>
      <c r="P89" s="30" t="s">
        <v>245</v>
      </c>
      <c r="Q89" s="30" t="s">
        <v>245</v>
      </c>
      <c r="R89" s="30" t="s">
        <v>245</v>
      </c>
      <c r="S89" s="30" t="s">
        <v>245</v>
      </c>
      <c r="T89" s="30" t="s">
        <v>245</v>
      </c>
      <c r="U89" s="30" t="s">
        <v>245</v>
      </c>
      <c r="V89" s="30" t="s">
        <v>245</v>
      </c>
      <c r="W89" s="30" t="s">
        <v>245</v>
      </c>
      <c r="X89" s="30" t="s">
        <v>245</v>
      </c>
      <c r="Y89" s="30" t="s">
        <v>245</v>
      </c>
      <c r="Z89" s="30" t="s">
        <v>245</v>
      </c>
      <c r="AA89" s="30" t="s">
        <v>245</v>
      </c>
      <c r="AB89" s="30" t="s">
        <v>245</v>
      </c>
      <c r="AC89" s="30" t="s">
        <v>245</v>
      </c>
      <c r="AD89" s="30" t="s">
        <v>245</v>
      </c>
      <c r="AE89" s="30" t="s">
        <v>245</v>
      </c>
      <c r="AF89" s="30" t="s">
        <v>245</v>
      </c>
      <c r="AG89" s="30" t="s">
        <v>245</v>
      </c>
      <c r="AH89" s="30" t="s">
        <v>245</v>
      </c>
      <c r="AI89" s="30" t="s">
        <v>245</v>
      </c>
      <c r="AJ89" s="30" t="s">
        <v>245</v>
      </c>
      <c r="AK89" s="30" t="s">
        <v>245</v>
      </c>
      <c r="AL89" s="30" t="s">
        <v>245</v>
      </c>
      <c r="AM89" s="30" t="s">
        <v>245</v>
      </c>
      <c r="AN89" s="30" t="s">
        <v>245</v>
      </c>
      <c r="AO89" s="30" t="s">
        <v>245</v>
      </c>
      <c r="AP89" s="30" t="s">
        <v>245</v>
      </c>
      <c r="AQ89" s="30" t="s">
        <v>987</v>
      </c>
      <c r="AR89" s="30" t="s">
        <v>988</v>
      </c>
      <c r="AS89" s="30" t="s">
        <v>245</v>
      </c>
      <c r="AT89" s="30" t="s">
        <v>245</v>
      </c>
      <c r="AU89" s="30" t="s">
        <v>245</v>
      </c>
      <c r="AV89" s="30" t="s">
        <v>245</v>
      </c>
      <c r="AW89" s="30">
        <v>1985</v>
      </c>
      <c r="AX89" s="30">
        <v>50</v>
      </c>
      <c r="AY89" s="30">
        <v>6</v>
      </c>
      <c r="AZ89" s="30" t="s">
        <v>245</v>
      </c>
      <c r="BA89" s="30" t="s">
        <v>245</v>
      </c>
      <c r="BB89" s="30" t="s">
        <v>245</v>
      </c>
      <c r="BC89" s="30" t="s">
        <v>245</v>
      </c>
      <c r="BD89" s="30">
        <v>1519</v>
      </c>
      <c r="BE89" s="30">
        <v>1525</v>
      </c>
      <c r="BF89" s="30" t="s">
        <v>245</v>
      </c>
      <c r="BG89" s="30" t="s">
        <v>989</v>
      </c>
      <c r="BH89" s="30" t="str">
        <f>HYPERLINK("http://dx.doi.org/10.1128/AEM.50.6.1519-1525.1985","http://dx.doi.org/10.1128/AEM.50.6.1519-1525.1985")</f>
        <v>http://dx.doi.org/10.1128/AEM.50.6.1519-1525.1985</v>
      </c>
      <c r="BI89" s="30" t="s">
        <v>245</v>
      </c>
      <c r="BJ89" s="30" t="s">
        <v>245</v>
      </c>
      <c r="BK89" s="30" t="s">
        <v>245</v>
      </c>
      <c r="BL89" s="30" t="s">
        <v>245</v>
      </c>
      <c r="BM89" s="30" t="s">
        <v>245</v>
      </c>
      <c r="BN89" s="30" t="s">
        <v>245</v>
      </c>
      <c r="BO89" s="30" t="s">
        <v>245</v>
      </c>
      <c r="BP89" s="30">
        <v>16346951</v>
      </c>
      <c r="BQ89" s="30" t="s">
        <v>245</v>
      </c>
      <c r="BR89" s="30" t="s">
        <v>245</v>
      </c>
      <c r="BS89" s="30" t="s">
        <v>245</v>
      </c>
      <c r="BT89" s="30" t="s">
        <v>245</v>
      </c>
      <c r="BU89" s="30" t="s">
        <v>990</v>
      </c>
      <c r="BV89" s="30" t="str">
        <f>HYPERLINK("https%3A%2F%2Fwww.webofscience.com%2Fwos%2Fwoscc%2Ffull-record%2FWOS:A1985AVM8500031","View Full Record in Web of Science")</f>
        <v>View Full Record in Web of Science</v>
      </c>
    </row>
    <row r="90" spans="1:74" x14ac:dyDescent="0.2">
      <c r="A90" s="30" t="s">
        <v>243</v>
      </c>
      <c r="B90" s="30" t="s">
        <v>991</v>
      </c>
      <c r="C90" s="30" t="s">
        <v>245</v>
      </c>
      <c r="D90" s="30" t="s">
        <v>245</v>
      </c>
      <c r="E90" s="30" t="s">
        <v>245</v>
      </c>
      <c r="F90" s="30" t="s">
        <v>991</v>
      </c>
      <c r="G90" s="30" t="s">
        <v>245</v>
      </c>
      <c r="H90" s="30" t="s">
        <v>245</v>
      </c>
      <c r="I90" s="30" t="s">
        <v>2823</v>
      </c>
      <c r="K90" s="30" t="s">
        <v>992</v>
      </c>
      <c r="L90" s="30" t="s">
        <v>541</v>
      </c>
      <c r="M90" s="30" t="s">
        <v>245</v>
      </c>
      <c r="N90" s="30" t="s">
        <v>245</v>
      </c>
      <c r="O90" s="30" t="s">
        <v>245</v>
      </c>
      <c r="P90" s="30" t="s">
        <v>245</v>
      </c>
      <c r="Q90" s="30" t="s">
        <v>245</v>
      </c>
      <c r="R90" s="30" t="s">
        <v>245</v>
      </c>
      <c r="S90" s="30" t="s">
        <v>245</v>
      </c>
      <c r="T90" s="30" t="s">
        <v>245</v>
      </c>
      <c r="U90" s="30" t="s">
        <v>245</v>
      </c>
      <c r="V90" s="30" t="s">
        <v>245</v>
      </c>
      <c r="W90" s="30" t="s">
        <v>245</v>
      </c>
      <c r="X90" s="30" t="s">
        <v>245</v>
      </c>
      <c r="Y90" s="30" t="s">
        <v>245</v>
      </c>
      <c r="Z90" s="30" t="s">
        <v>245</v>
      </c>
      <c r="AA90" s="30" t="s">
        <v>245</v>
      </c>
      <c r="AB90" s="30" t="s">
        <v>245</v>
      </c>
      <c r="AC90" s="30" t="s">
        <v>993</v>
      </c>
      <c r="AD90" s="30" t="s">
        <v>994</v>
      </c>
      <c r="AE90" s="30" t="s">
        <v>245</v>
      </c>
      <c r="AF90" s="30" t="s">
        <v>245</v>
      </c>
      <c r="AG90" s="30" t="s">
        <v>245</v>
      </c>
      <c r="AH90" s="30" t="s">
        <v>245</v>
      </c>
      <c r="AI90" s="30" t="s">
        <v>245</v>
      </c>
      <c r="AJ90" s="30" t="s">
        <v>245</v>
      </c>
      <c r="AK90" s="30" t="s">
        <v>245</v>
      </c>
      <c r="AL90" s="30" t="s">
        <v>245</v>
      </c>
      <c r="AM90" s="30" t="s">
        <v>245</v>
      </c>
      <c r="AN90" s="30" t="s">
        <v>245</v>
      </c>
      <c r="AO90" s="30" t="s">
        <v>245</v>
      </c>
      <c r="AP90" s="30" t="s">
        <v>245</v>
      </c>
      <c r="AQ90" s="30" t="s">
        <v>544</v>
      </c>
      <c r="AR90" s="30" t="s">
        <v>545</v>
      </c>
      <c r="AS90" s="30" t="s">
        <v>245</v>
      </c>
      <c r="AT90" s="30" t="s">
        <v>245</v>
      </c>
      <c r="AU90" s="30" t="s">
        <v>245</v>
      </c>
      <c r="AV90" s="30" t="s">
        <v>995</v>
      </c>
      <c r="AW90" s="30">
        <v>2005</v>
      </c>
      <c r="AX90" s="30">
        <v>107</v>
      </c>
      <c r="AY90" s="30">
        <v>4</v>
      </c>
      <c r="AZ90" s="30" t="s">
        <v>245</v>
      </c>
      <c r="BA90" s="30" t="s">
        <v>245</v>
      </c>
      <c r="BB90" s="30" t="s">
        <v>245</v>
      </c>
      <c r="BC90" s="30" t="s">
        <v>245</v>
      </c>
      <c r="BD90" s="30">
        <v>371</v>
      </c>
      <c r="BE90" s="30">
        <v>379</v>
      </c>
      <c r="BF90" s="30" t="s">
        <v>245</v>
      </c>
      <c r="BG90" s="30" t="s">
        <v>996</v>
      </c>
      <c r="BH90" s="30" t="str">
        <f>HYPERLINK("http://dx.doi.org/10.1016/j.agee.2004.10.027","http://dx.doi.org/10.1016/j.agee.2004.10.027")</f>
        <v>http://dx.doi.org/10.1016/j.agee.2004.10.027</v>
      </c>
      <c r="BI90" s="30" t="s">
        <v>245</v>
      </c>
      <c r="BJ90" s="30" t="s">
        <v>245</v>
      </c>
      <c r="BK90" s="30" t="s">
        <v>245</v>
      </c>
      <c r="BL90" s="30" t="s">
        <v>245</v>
      </c>
      <c r="BM90" s="30" t="s">
        <v>245</v>
      </c>
      <c r="BN90" s="30" t="s">
        <v>245</v>
      </c>
      <c r="BO90" s="30" t="s">
        <v>245</v>
      </c>
      <c r="BP90" s="30" t="s">
        <v>245</v>
      </c>
      <c r="BQ90" s="30" t="s">
        <v>245</v>
      </c>
      <c r="BR90" s="30" t="s">
        <v>245</v>
      </c>
      <c r="BS90" s="30" t="s">
        <v>245</v>
      </c>
      <c r="BT90" s="30" t="s">
        <v>245</v>
      </c>
      <c r="BU90" s="30" t="s">
        <v>997</v>
      </c>
      <c r="BV90" s="30" t="str">
        <f>HYPERLINK("https%3A%2F%2Fwww.webofscience.com%2Fwos%2Fwoscc%2Ffull-record%2FWOS:000228955400006","View Full Record in Web of Science")</f>
        <v>View Full Record in Web of Science</v>
      </c>
    </row>
    <row r="91" spans="1:74" x14ac:dyDescent="0.2">
      <c r="A91" s="30" t="s">
        <v>243</v>
      </c>
      <c r="B91" s="30" t="s">
        <v>998</v>
      </c>
      <c r="C91" s="30" t="s">
        <v>245</v>
      </c>
      <c r="D91" s="30" t="s">
        <v>245</v>
      </c>
      <c r="E91" s="30" t="s">
        <v>245</v>
      </c>
      <c r="F91" s="30" t="s">
        <v>999</v>
      </c>
      <c r="G91" s="30" t="s">
        <v>245</v>
      </c>
      <c r="H91" s="30" t="s">
        <v>245</v>
      </c>
      <c r="K91" s="30" t="s">
        <v>1000</v>
      </c>
      <c r="L91" s="30" t="s">
        <v>892</v>
      </c>
      <c r="M91" s="30" t="s">
        <v>245</v>
      </c>
      <c r="N91" s="30" t="s">
        <v>245</v>
      </c>
      <c r="O91" s="30" t="s">
        <v>245</v>
      </c>
      <c r="P91" s="30" t="s">
        <v>245</v>
      </c>
      <c r="Q91" s="30" t="s">
        <v>245</v>
      </c>
      <c r="R91" s="30" t="s">
        <v>245</v>
      </c>
      <c r="S91" s="30" t="s">
        <v>245</v>
      </c>
      <c r="T91" s="30" t="s">
        <v>245</v>
      </c>
      <c r="U91" s="30" t="s">
        <v>245</v>
      </c>
      <c r="V91" s="30" t="s">
        <v>245</v>
      </c>
      <c r="W91" s="30" t="s">
        <v>245</v>
      </c>
      <c r="X91" s="30" t="s">
        <v>245</v>
      </c>
      <c r="Y91" s="30" t="s">
        <v>245</v>
      </c>
      <c r="Z91" s="30" t="s">
        <v>245</v>
      </c>
      <c r="AA91" s="30" t="s">
        <v>245</v>
      </c>
      <c r="AB91" s="30" t="s">
        <v>245</v>
      </c>
      <c r="AC91" s="30" t="s">
        <v>1001</v>
      </c>
      <c r="AD91" s="30" t="s">
        <v>1002</v>
      </c>
      <c r="AE91" s="30" t="s">
        <v>245</v>
      </c>
      <c r="AF91" s="30" t="s">
        <v>245</v>
      </c>
      <c r="AG91" s="30" t="s">
        <v>245</v>
      </c>
      <c r="AH91" s="30" t="s">
        <v>245</v>
      </c>
      <c r="AI91" s="30" t="s">
        <v>245</v>
      </c>
      <c r="AJ91" s="30" t="s">
        <v>245</v>
      </c>
      <c r="AK91" s="30" t="s">
        <v>245</v>
      </c>
      <c r="AL91" s="30" t="s">
        <v>245</v>
      </c>
      <c r="AM91" s="30" t="s">
        <v>245</v>
      </c>
      <c r="AN91" s="30" t="s">
        <v>245</v>
      </c>
      <c r="AO91" s="30" t="s">
        <v>245</v>
      </c>
      <c r="AP91" s="30" t="s">
        <v>245</v>
      </c>
      <c r="AQ91" s="30" t="s">
        <v>898</v>
      </c>
      <c r="AR91" s="30" t="s">
        <v>899</v>
      </c>
      <c r="AS91" s="30" t="s">
        <v>245</v>
      </c>
      <c r="AT91" s="30" t="s">
        <v>245</v>
      </c>
      <c r="AU91" s="30" t="s">
        <v>245</v>
      </c>
      <c r="AV91" s="30" t="s">
        <v>535</v>
      </c>
      <c r="AW91" s="30">
        <v>2015</v>
      </c>
      <c r="AX91" s="30">
        <v>151</v>
      </c>
      <c r="AY91" s="30" t="s">
        <v>245</v>
      </c>
      <c r="AZ91" s="30" t="s">
        <v>245</v>
      </c>
      <c r="BA91" s="30" t="s">
        <v>245</v>
      </c>
      <c r="BB91" s="30" t="s">
        <v>245</v>
      </c>
      <c r="BC91" s="30" t="s">
        <v>245</v>
      </c>
      <c r="BD91" s="30">
        <v>75</v>
      </c>
      <c r="BE91" s="30">
        <v>81</v>
      </c>
      <c r="BF91" s="30" t="s">
        <v>245</v>
      </c>
      <c r="BG91" s="30" t="s">
        <v>1003</v>
      </c>
      <c r="BH91" s="30" t="str">
        <f>HYPERLINK("http://dx.doi.org/10.1016/j.still.2015.03.004","http://dx.doi.org/10.1016/j.still.2015.03.004")</f>
        <v>http://dx.doi.org/10.1016/j.still.2015.03.004</v>
      </c>
      <c r="BI91" s="30" t="s">
        <v>245</v>
      </c>
      <c r="BJ91" s="30" t="s">
        <v>245</v>
      </c>
      <c r="BK91" s="30" t="s">
        <v>245</v>
      </c>
      <c r="BL91" s="30" t="s">
        <v>245</v>
      </c>
      <c r="BM91" s="30" t="s">
        <v>245</v>
      </c>
      <c r="BN91" s="30" t="s">
        <v>245</v>
      </c>
      <c r="BO91" s="30" t="s">
        <v>245</v>
      </c>
      <c r="BP91" s="30" t="s">
        <v>245</v>
      </c>
      <c r="BQ91" s="30" t="s">
        <v>245</v>
      </c>
      <c r="BR91" s="30" t="s">
        <v>245</v>
      </c>
      <c r="BS91" s="30" t="s">
        <v>245</v>
      </c>
      <c r="BT91" s="30" t="s">
        <v>245</v>
      </c>
      <c r="BU91" s="30" t="s">
        <v>1004</v>
      </c>
      <c r="BV91" s="30" t="str">
        <f>HYPERLINK("https%3A%2F%2Fwww.webofscience.com%2Fwos%2Fwoscc%2Ffull-record%2FWOS:000353093200009","View Full Record in Web of Science")</f>
        <v>View Full Record in Web of Science</v>
      </c>
    </row>
    <row r="92" spans="1:74" x14ac:dyDescent="0.2">
      <c r="A92" s="30" t="s">
        <v>243</v>
      </c>
      <c r="B92" s="30" t="s">
        <v>1005</v>
      </c>
      <c r="C92" s="30" t="s">
        <v>245</v>
      </c>
      <c r="D92" s="30" t="s">
        <v>245</v>
      </c>
      <c r="E92" s="30" t="s">
        <v>245</v>
      </c>
      <c r="F92" s="30" t="s">
        <v>1006</v>
      </c>
      <c r="G92" s="30" t="s">
        <v>245</v>
      </c>
      <c r="H92" s="30" t="s">
        <v>245</v>
      </c>
      <c r="I92" s="30" t="s">
        <v>2822</v>
      </c>
      <c r="K92" s="30" t="s">
        <v>1007</v>
      </c>
      <c r="L92" s="30" t="s">
        <v>460</v>
      </c>
      <c r="M92" s="30" t="s">
        <v>245</v>
      </c>
      <c r="N92" s="30" t="s">
        <v>245</v>
      </c>
      <c r="O92" s="30" t="s">
        <v>245</v>
      </c>
      <c r="P92" s="30" t="s">
        <v>245</v>
      </c>
      <c r="Q92" s="30" t="s">
        <v>245</v>
      </c>
      <c r="R92" s="30" t="s">
        <v>245</v>
      </c>
      <c r="S92" s="30" t="s">
        <v>245</v>
      </c>
      <c r="T92" s="30" t="s">
        <v>245</v>
      </c>
      <c r="U92" s="30" t="s">
        <v>245</v>
      </c>
      <c r="V92" s="30" t="s">
        <v>245</v>
      </c>
      <c r="W92" s="30" t="s">
        <v>245</v>
      </c>
      <c r="X92" s="30" t="s">
        <v>245</v>
      </c>
      <c r="Y92" s="30" t="s">
        <v>245</v>
      </c>
      <c r="Z92" s="30" t="s">
        <v>245</v>
      </c>
      <c r="AA92" s="30" t="s">
        <v>245</v>
      </c>
      <c r="AB92" s="30" t="s">
        <v>245</v>
      </c>
      <c r="AC92" s="30" t="s">
        <v>1008</v>
      </c>
      <c r="AD92" s="30" t="s">
        <v>1009</v>
      </c>
      <c r="AE92" s="30" t="s">
        <v>245</v>
      </c>
      <c r="AF92" s="30" t="s">
        <v>245</v>
      </c>
      <c r="AG92" s="30" t="s">
        <v>245</v>
      </c>
      <c r="AH92" s="30" t="s">
        <v>245</v>
      </c>
      <c r="AI92" s="30" t="s">
        <v>245</v>
      </c>
      <c r="AJ92" s="30" t="s">
        <v>245</v>
      </c>
      <c r="AK92" s="30" t="s">
        <v>245</v>
      </c>
      <c r="AL92" s="30" t="s">
        <v>245</v>
      </c>
      <c r="AM92" s="30" t="s">
        <v>245</v>
      </c>
      <c r="AN92" s="30" t="s">
        <v>245</v>
      </c>
      <c r="AO92" s="30" t="s">
        <v>245</v>
      </c>
      <c r="AP92" s="30" t="s">
        <v>245</v>
      </c>
      <c r="AQ92" s="30" t="s">
        <v>462</v>
      </c>
      <c r="AR92" s="30" t="s">
        <v>463</v>
      </c>
      <c r="AS92" s="30" t="s">
        <v>245</v>
      </c>
      <c r="AT92" s="30" t="s">
        <v>245</v>
      </c>
      <c r="AU92" s="30" t="s">
        <v>245</v>
      </c>
      <c r="AV92" s="30" t="s">
        <v>435</v>
      </c>
      <c r="AW92" s="30">
        <v>2010</v>
      </c>
      <c r="AX92" s="30">
        <v>90</v>
      </c>
      <c r="AY92" s="30">
        <v>2</v>
      </c>
      <c r="AZ92" s="30" t="s">
        <v>245</v>
      </c>
      <c r="BA92" s="30" t="s">
        <v>245</v>
      </c>
      <c r="BB92" s="30" t="s">
        <v>245</v>
      </c>
      <c r="BC92" s="30" t="s">
        <v>245</v>
      </c>
      <c r="BD92" s="30">
        <v>243</v>
      </c>
      <c r="BE92" s="30">
        <v>256</v>
      </c>
      <c r="BF92" s="30" t="s">
        <v>245</v>
      </c>
      <c r="BG92" s="30" t="s">
        <v>1010</v>
      </c>
      <c r="BH92" s="30" t="str">
        <f>HYPERLINK("http://dx.doi.org/10.4141/CJSS08053","http://dx.doi.org/10.4141/CJSS08053")</f>
        <v>http://dx.doi.org/10.4141/CJSS08053</v>
      </c>
      <c r="BI92" s="30" t="s">
        <v>245</v>
      </c>
      <c r="BJ92" s="30" t="s">
        <v>245</v>
      </c>
      <c r="BK92" s="30" t="s">
        <v>245</v>
      </c>
      <c r="BL92" s="30" t="s">
        <v>245</v>
      </c>
      <c r="BM92" s="30" t="s">
        <v>245</v>
      </c>
      <c r="BN92" s="30" t="s">
        <v>245</v>
      </c>
      <c r="BO92" s="30" t="s">
        <v>245</v>
      </c>
      <c r="BP92" s="30" t="s">
        <v>245</v>
      </c>
      <c r="BQ92" s="30" t="s">
        <v>245</v>
      </c>
      <c r="BR92" s="30" t="s">
        <v>245</v>
      </c>
      <c r="BS92" s="30" t="s">
        <v>245</v>
      </c>
      <c r="BT92" s="30" t="s">
        <v>245</v>
      </c>
      <c r="BU92" s="30" t="s">
        <v>1011</v>
      </c>
      <c r="BV92" s="30" t="str">
        <f>HYPERLINK("https%3A%2F%2Fwww.webofscience.com%2Fwos%2Fwoscc%2Ffull-record%2FWOS:000278170700001","View Full Record in Web of Science")</f>
        <v>View Full Record in Web of Science</v>
      </c>
    </row>
    <row r="93" spans="1:74" x14ac:dyDescent="0.2">
      <c r="A93" s="30" t="s">
        <v>243</v>
      </c>
      <c r="B93" s="30" t="s">
        <v>1012</v>
      </c>
      <c r="C93" s="30" t="s">
        <v>245</v>
      </c>
      <c r="D93" s="30" t="s">
        <v>245</v>
      </c>
      <c r="E93" s="30" t="s">
        <v>245</v>
      </c>
      <c r="F93" s="30" t="s">
        <v>1013</v>
      </c>
      <c r="G93" s="30" t="s">
        <v>245</v>
      </c>
      <c r="H93" s="30" t="s">
        <v>245</v>
      </c>
      <c r="I93" s="30" t="s">
        <v>2819</v>
      </c>
      <c r="K93" s="30" t="s">
        <v>1014</v>
      </c>
      <c r="L93" s="30" t="s">
        <v>1015</v>
      </c>
      <c r="M93" s="30" t="s">
        <v>245</v>
      </c>
      <c r="N93" s="30" t="s">
        <v>245</v>
      </c>
      <c r="O93" s="30" t="s">
        <v>245</v>
      </c>
      <c r="P93" s="30" t="s">
        <v>245</v>
      </c>
      <c r="Q93" s="30" t="s">
        <v>245</v>
      </c>
      <c r="R93" s="30" t="s">
        <v>245</v>
      </c>
      <c r="S93" s="30" t="s">
        <v>245</v>
      </c>
      <c r="T93" s="30" t="s">
        <v>245</v>
      </c>
      <c r="U93" s="30" t="s">
        <v>245</v>
      </c>
      <c r="V93" s="30" t="s">
        <v>245</v>
      </c>
      <c r="W93" s="30" t="s">
        <v>245</v>
      </c>
      <c r="X93" s="30" t="s">
        <v>245</v>
      </c>
      <c r="Y93" s="30" t="s">
        <v>245</v>
      </c>
      <c r="Z93" s="30" t="s">
        <v>245</v>
      </c>
      <c r="AA93" s="30" t="s">
        <v>245</v>
      </c>
      <c r="AB93" s="30" t="s">
        <v>245</v>
      </c>
      <c r="AC93" s="30" t="s">
        <v>1016</v>
      </c>
      <c r="AD93" s="30" t="s">
        <v>1017</v>
      </c>
      <c r="AE93" s="30" t="s">
        <v>245</v>
      </c>
      <c r="AF93" s="30" t="s">
        <v>245</v>
      </c>
      <c r="AG93" s="30" t="s">
        <v>245</v>
      </c>
      <c r="AH93" s="30" t="s">
        <v>245</v>
      </c>
      <c r="AI93" s="30" t="s">
        <v>245</v>
      </c>
      <c r="AJ93" s="30" t="s">
        <v>245</v>
      </c>
      <c r="AK93" s="30" t="s">
        <v>245</v>
      </c>
      <c r="AL93" s="30" t="s">
        <v>245</v>
      </c>
      <c r="AM93" s="30" t="s">
        <v>245</v>
      </c>
      <c r="AN93" s="30" t="s">
        <v>245</v>
      </c>
      <c r="AO93" s="30" t="s">
        <v>245</v>
      </c>
      <c r="AP93" s="30" t="s">
        <v>245</v>
      </c>
      <c r="AQ93" s="30" t="s">
        <v>1018</v>
      </c>
      <c r="AR93" s="30" t="s">
        <v>1019</v>
      </c>
      <c r="AS93" s="30" t="s">
        <v>245</v>
      </c>
      <c r="AT93" s="30" t="s">
        <v>245</v>
      </c>
      <c r="AU93" s="30" t="s">
        <v>245</v>
      </c>
      <c r="AV93" s="30" t="s">
        <v>365</v>
      </c>
      <c r="AW93" s="30">
        <v>2008</v>
      </c>
      <c r="AX93" s="30">
        <v>87</v>
      </c>
      <c r="AY93" s="30">
        <v>2</v>
      </c>
      <c r="AZ93" s="30" t="s">
        <v>245</v>
      </c>
      <c r="BA93" s="30" t="s">
        <v>245</v>
      </c>
      <c r="BB93" s="30" t="s">
        <v>245</v>
      </c>
      <c r="BC93" s="30" t="s">
        <v>245</v>
      </c>
      <c r="BD93" s="30">
        <v>181</v>
      </c>
      <c r="BE93" s="30">
        <v>198</v>
      </c>
      <c r="BF93" s="30" t="s">
        <v>245</v>
      </c>
      <c r="BG93" s="30" t="s">
        <v>1020</v>
      </c>
      <c r="BH93" s="30" t="str">
        <f>HYPERLINK("http://dx.doi.org/10.1007/s10533-008-9176-9","http://dx.doi.org/10.1007/s10533-008-9176-9")</f>
        <v>http://dx.doi.org/10.1007/s10533-008-9176-9</v>
      </c>
      <c r="BI93" s="30" t="s">
        <v>245</v>
      </c>
      <c r="BJ93" s="30" t="s">
        <v>245</v>
      </c>
      <c r="BK93" s="30" t="s">
        <v>245</v>
      </c>
      <c r="BL93" s="30" t="s">
        <v>245</v>
      </c>
      <c r="BM93" s="30" t="s">
        <v>245</v>
      </c>
      <c r="BN93" s="30" t="s">
        <v>245</v>
      </c>
      <c r="BO93" s="30" t="s">
        <v>245</v>
      </c>
      <c r="BP93" s="30" t="s">
        <v>245</v>
      </c>
      <c r="BQ93" s="30" t="s">
        <v>245</v>
      </c>
      <c r="BR93" s="30" t="s">
        <v>245</v>
      </c>
      <c r="BS93" s="30" t="s">
        <v>245</v>
      </c>
      <c r="BT93" s="30" t="s">
        <v>245</v>
      </c>
      <c r="BU93" s="30" t="s">
        <v>1021</v>
      </c>
      <c r="BV93" s="30" t="str">
        <f>HYPERLINK("https%3A%2F%2Fwww.webofscience.com%2Fwos%2Fwoscc%2Ffull-record%2FWOS:000254360300006","View Full Record in Web of Science")</f>
        <v>View Full Record in Web of Science</v>
      </c>
    </row>
    <row r="94" spans="1:74" x14ac:dyDescent="0.2">
      <c r="A94" s="30" t="s">
        <v>243</v>
      </c>
      <c r="B94" s="30" t="s">
        <v>1022</v>
      </c>
      <c r="C94" s="30" t="s">
        <v>245</v>
      </c>
      <c r="D94" s="30" t="s">
        <v>245</v>
      </c>
      <c r="E94" s="30" t="s">
        <v>245</v>
      </c>
      <c r="F94" s="30" t="s">
        <v>1023</v>
      </c>
      <c r="G94" s="30" t="s">
        <v>245</v>
      </c>
      <c r="H94" s="30" t="s">
        <v>245</v>
      </c>
      <c r="J94" s="30" t="s">
        <v>2825</v>
      </c>
      <c r="K94" s="30" t="s">
        <v>1024</v>
      </c>
      <c r="L94" s="30" t="s">
        <v>758</v>
      </c>
      <c r="M94" s="30" t="s">
        <v>245</v>
      </c>
      <c r="N94" s="30" t="s">
        <v>245</v>
      </c>
      <c r="O94" s="30" t="s">
        <v>245</v>
      </c>
      <c r="P94" s="30" t="s">
        <v>245</v>
      </c>
      <c r="Q94" s="30" t="s">
        <v>245</v>
      </c>
      <c r="R94" s="30" t="s">
        <v>245</v>
      </c>
      <c r="S94" s="30" t="s">
        <v>245</v>
      </c>
      <c r="T94" s="30" t="s">
        <v>245</v>
      </c>
      <c r="U94" s="30" t="s">
        <v>245</v>
      </c>
      <c r="V94" s="30" t="s">
        <v>245</v>
      </c>
      <c r="W94" s="30" t="s">
        <v>245</v>
      </c>
      <c r="X94" s="30" t="s">
        <v>245</v>
      </c>
      <c r="Y94" s="30" t="s">
        <v>245</v>
      </c>
      <c r="Z94" s="30" t="s">
        <v>245</v>
      </c>
      <c r="AA94" s="30" t="s">
        <v>245</v>
      </c>
      <c r="AB94" s="30" t="s">
        <v>245</v>
      </c>
      <c r="AC94" s="30" t="s">
        <v>1025</v>
      </c>
      <c r="AD94" s="30" t="s">
        <v>1026</v>
      </c>
      <c r="AE94" s="30" t="s">
        <v>245</v>
      </c>
      <c r="AF94" s="30" t="s">
        <v>245</v>
      </c>
      <c r="AG94" s="30" t="s">
        <v>245</v>
      </c>
      <c r="AH94" s="30" t="s">
        <v>245</v>
      </c>
      <c r="AI94" s="30" t="s">
        <v>245</v>
      </c>
      <c r="AJ94" s="30" t="s">
        <v>245</v>
      </c>
      <c r="AK94" s="30" t="s">
        <v>245</v>
      </c>
      <c r="AL94" s="30" t="s">
        <v>245</v>
      </c>
      <c r="AM94" s="30" t="s">
        <v>245</v>
      </c>
      <c r="AN94" s="30" t="s">
        <v>245</v>
      </c>
      <c r="AO94" s="30" t="s">
        <v>245</v>
      </c>
      <c r="AP94" s="30" t="s">
        <v>245</v>
      </c>
      <c r="AQ94" s="30" t="s">
        <v>759</v>
      </c>
      <c r="AR94" s="30" t="s">
        <v>822</v>
      </c>
      <c r="AS94" s="30" t="s">
        <v>245</v>
      </c>
      <c r="AT94" s="30" t="s">
        <v>245</v>
      </c>
      <c r="AU94" s="30" t="s">
        <v>245</v>
      </c>
      <c r="AV94" s="30" t="s">
        <v>354</v>
      </c>
      <c r="AW94" s="30">
        <v>2024</v>
      </c>
      <c r="AX94" s="30">
        <v>60</v>
      </c>
      <c r="AY94" s="30">
        <v>3</v>
      </c>
      <c r="AZ94" s="30" t="s">
        <v>245</v>
      </c>
      <c r="BA94" s="30" t="s">
        <v>245</v>
      </c>
      <c r="BB94" s="30" t="s">
        <v>245</v>
      </c>
      <c r="BC94" s="30" t="s">
        <v>245</v>
      </c>
      <c r="BD94" s="30">
        <v>375</v>
      </c>
      <c r="BE94" s="30">
        <v>391</v>
      </c>
      <c r="BF94" s="30" t="s">
        <v>245</v>
      </c>
      <c r="BG94" s="30" t="s">
        <v>1027</v>
      </c>
      <c r="BH94" s="30" t="str">
        <f>HYPERLINK("http://dx.doi.org/10.1007/s00374-023-01791-9","http://dx.doi.org/10.1007/s00374-023-01791-9")</f>
        <v>http://dx.doi.org/10.1007/s00374-023-01791-9</v>
      </c>
      <c r="BI94" s="30" t="s">
        <v>245</v>
      </c>
      <c r="BJ94" s="30" t="s">
        <v>1028</v>
      </c>
      <c r="BK94" s="30" t="s">
        <v>245</v>
      </c>
      <c r="BL94" s="30" t="s">
        <v>245</v>
      </c>
      <c r="BM94" s="30" t="s">
        <v>245</v>
      </c>
      <c r="BN94" s="30" t="s">
        <v>245</v>
      </c>
      <c r="BO94" s="30" t="s">
        <v>245</v>
      </c>
      <c r="BP94" s="30" t="s">
        <v>245</v>
      </c>
      <c r="BQ94" s="30" t="s">
        <v>245</v>
      </c>
      <c r="BR94" s="30" t="s">
        <v>245</v>
      </c>
      <c r="BS94" s="30" t="s">
        <v>245</v>
      </c>
      <c r="BT94" s="30" t="s">
        <v>245</v>
      </c>
      <c r="BU94" s="30" t="s">
        <v>1029</v>
      </c>
      <c r="BV94" s="30" t="str">
        <f>HYPERLINK("https%3A%2F%2Fwww.webofscience.com%2Fwos%2Fwoscc%2Ffull-record%2FWOS:001132411100001","View Full Record in Web of Science")</f>
        <v>View Full Record in Web of Science</v>
      </c>
    </row>
    <row r="95" spans="1:74" x14ac:dyDescent="0.2">
      <c r="A95" s="30" t="s">
        <v>243</v>
      </c>
      <c r="B95" s="30" t="s">
        <v>1030</v>
      </c>
      <c r="C95" s="30" t="s">
        <v>245</v>
      </c>
      <c r="D95" s="30" t="s">
        <v>245</v>
      </c>
      <c r="E95" s="30" t="s">
        <v>245</v>
      </c>
      <c r="F95" s="30" t="s">
        <v>1031</v>
      </c>
      <c r="G95" s="30" t="s">
        <v>245</v>
      </c>
      <c r="H95" s="30" t="s">
        <v>245</v>
      </c>
      <c r="I95" s="30" t="s">
        <v>2821</v>
      </c>
      <c r="K95" s="30" t="s">
        <v>1032</v>
      </c>
      <c r="L95" s="30" t="s">
        <v>641</v>
      </c>
      <c r="M95" s="30" t="s">
        <v>245</v>
      </c>
      <c r="N95" s="30" t="s">
        <v>245</v>
      </c>
      <c r="O95" s="30" t="s">
        <v>245</v>
      </c>
      <c r="P95" s="30" t="s">
        <v>245</v>
      </c>
      <c r="Q95" s="30" t="s">
        <v>245</v>
      </c>
      <c r="R95" s="30" t="s">
        <v>245</v>
      </c>
      <c r="S95" s="30" t="s">
        <v>245</v>
      </c>
      <c r="T95" s="30" t="s">
        <v>245</v>
      </c>
      <c r="U95" s="30" t="s">
        <v>245</v>
      </c>
      <c r="V95" s="30" t="s">
        <v>245</v>
      </c>
      <c r="W95" s="30" t="s">
        <v>245</v>
      </c>
      <c r="X95" s="30" t="s">
        <v>245</v>
      </c>
      <c r="Y95" s="30" t="s">
        <v>245</v>
      </c>
      <c r="Z95" s="30" t="s">
        <v>245</v>
      </c>
      <c r="AA95" s="30" t="s">
        <v>245</v>
      </c>
      <c r="AB95" s="30" t="s">
        <v>245</v>
      </c>
      <c r="AC95" s="30" t="s">
        <v>245</v>
      </c>
      <c r="AD95" s="30" t="s">
        <v>245</v>
      </c>
      <c r="AE95" s="30" t="s">
        <v>245</v>
      </c>
      <c r="AF95" s="30" t="s">
        <v>245</v>
      </c>
      <c r="AG95" s="30" t="s">
        <v>245</v>
      </c>
      <c r="AH95" s="30" t="s">
        <v>245</v>
      </c>
      <c r="AI95" s="30" t="s">
        <v>245</v>
      </c>
      <c r="AJ95" s="30" t="s">
        <v>245</v>
      </c>
      <c r="AK95" s="30" t="s">
        <v>245</v>
      </c>
      <c r="AL95" s="30" t="s">
        <v>245</v>
      </c>
      <c r="AM95" s="30" t="s">
        <v>245</v>
      </c>
      <c r="AN95" s="30" t="s">
        <v>245</v>
      </c>
      <c r="AO95" s="30" t="s">
        <v>245</v>
      </c>
      <c r="AP95" s="30" t="s">
        <v>245</v>
      </c>
      <c r="AQ95" s="30" t="s">
        <v>644</v>
      </c>
      <c r="AR95" s="30" t="s">
        <v>245</v>
      </c>
      <c r="AS95" s="30" t="s">
        <v>245</v>
      </c>
      <c r="AT95" s="30" t="s">
        <v>245</v>
      </c>
      <c r="AU95" s="30" t="s">
        <v>245</v>
      </c>
      <c r="AV95" s="30" t="s">
        <v>1033</v>
      </c>
      <c r="AW95" s="30">
        <v>2006</v>
      </c>
      <c r="AX95" s="30">
        <v>35</v>
      </c>
      <c r="AY95" s="30">
        <v>5</v>
      </c>
      <c r="AZ95" s="30" t="s">
        <v>245</v>
      </c>
      <c r="BA95" s="30" t="s">
        <v>245</v>
      </c>
      <c r="BB95" s="30" t="s">
        <v>245</v>
      </c>
      <c r="BC95" s="30" t="s">
        <v>245</v>
      </c>
      <c r="BD95" s="30">
        <v>1678</v>
      </c>
      <c r="BE95" s="30">
        <v>1685</v>
      </c>
      <c r="BF95" s="30" t="s">
        <v>245</v>
      </c>
      <c r="BG95" s="30" t="s">
        <v>1034</v>
      </c>
      <c r="BH95" s="30" t="str">
        <f>HYPERLINK("http://dx.doi.org/10.2134/jeq2005.0387","http://dx.doi.org/10.2134/jeq2005.0387")</f>
        <v>http://dx.doi.org/10.2134/jeq2005.0387</v>
      </c>
      <c r="BI95" s="30" t="s">
        <v>245</v>
      </c>
      <c r="BJ95" s="30" t="s">
        <v>245</v>
      </c>
      <c r="BK95" s="30" t="s">
        <v>245</v>
      </c>
      <c r="BL95" s="30" t="s">
        <v>245</v>
      </c>
      <c r="BM95" s="30" t="s">
        <v>245</v>
      </c>
      <c r="BN95" s="30" t="s">
        <v>245</v>
      </c>
      <c r="BO95" s="30" t="s">
        <v>245</v>
      </c>
      <c r="BP95" s="30">
        <v>16899739</v>
      </c>
      <c r="BQ95" s="30" t="s">
        <v>245</v>
      </c>
      <c r="BR95" s="30" t="s">
        <v>245</v>
      </c>
      <c r="BS95" s="30" t="s">
        <v>245</v>
      </c>
      <c r="BT95" s="30" t="s">
        <v>245</v>
      </c>
      <c r="BU95" s="30" t="s">
        <v>1035</v>
      </c>
      <c r="BV95" s="30" t="str">
        <f>HYPERLINK("https%3A%2F%2Fwww.webofscience.com%2Fwos%2Fwoscc%2Ffull-record%2FWOS:000240924200004","View Full Record in Web of Science")</f>
        <v>View Full Record in Web of Science</v>
      </c>
    </row>
    <row r="96" spans="1:74" x14ac:dyDescent="0.2">
      <c r="A96" s="30" t="s">
        <v>243</v>
      </c>
      <c r="B96" s="30" t="s">
        <v>1036</v>
      </c>
      <c r="C96" s="30" t="s">
        <v>245</v>
      </c>
      <c r="D96" s="30" t="s">
        <v>245</v>
      </c>
      <c r="E96" s="30" t="s">
        <v>245</v>
      </c>
      <c r="F96" s="30" t="s">
        <v>1037</v>
      </c>
      <c r="G96" s="30" t="s">
        <v>245</v>
      </c>
      <c r="H96" s="30" t="s">
        <v>245</v>
      </c>
      <c r="I96" s="30" t="s">
        <v>2826</v>
      </c>
      <c r="K96" s="30" t="s">
        <v>1038</v>
      </c>
      <c r="L96" s="30" t="s">
        <v>282</v>
      </c>
      <c r="M96" s="30" t="s">
        <v>245</v>
      </c>
      <c r="N96" s="30" t="s">
        <v>245</v>
      </c>
      <c r="O96" s="30" t="s">
        <v>245</v>
      </c>
      <c r="P96" s="30" t="s">
        <v>245</v>
      </c>
      <c r="Q96" s="30" t="s">
        <v>245</v>
      </c>
      <c r="R96" s="30" t="s">
        <v>245</v>
      </c>
      <c r="S96" s="30" t="s">
        <v>245</v>
      </c>
      <c r="T96" s="30" t="s">
        <v>245</v>
      </c>
      <c r="U96" s="30" t="s">
        <v>245</v>
      </c>
      <c r="V96" s="30" t="s">
        <v>245</v>
      </c>
      <c r="W96" s="30" t="s">
        <v>245</v>
      </c>
      <c r="X96" s="30" t="s">
        <v>245</v>
      </c>
      <c r="Y96" s="30" t="s">
        <v>245</v>
      </c>
      <c r="Z96" s="30" t="s">
        <v>245</v>
      </c>
      <c r="AA96" s="30" t="s">
        <v>245</v>
      </c>
      <c r="AB96" s="30" t="s">
        <v>245</v>
      </c>
      <c r="AC96" s="30" t="s">
        <v>1039</v>
      </c>
      <c r="AD96" s="30" t="s">
        <v>245</v>
      </c>
      <c r="AE96" s="30" t="s">
        <v>245</v>
      </c>
      <c r="AF96" s="30" t="s">
        <v>245</v>
      </c>
      <c r="AG96" s="30" t="s">
        <v>245</v>
      </c>
      <c r="AH96" s="30" t="s">
        <v>245</v>
      </c>
      <c r="AI96" s="30" t="s">
        <v>245</v>
      </c>
      <c r="AJ96" s="30" t="s">
        <v>245</v>
      </c>
      <c r="AK96" s="30" t="s">
        <v>245</v>
      </c>
      <c r="AL96" s="30" t="s">
        <v>245</v>
      </c>
      <c r="AM96" s="30" t="s">
        <v>245</v>
      </c>
      <c r="AN96" s="30" t="s">
        <v>245</v>
      </c>
      <c r="AO96" s="30" t="s">
        <v>245</v>
      </c>
      <c r="AP96" s="30" t="s">
        <v>245</v>
      </c>
      <c r="AQ96" s="30" t="s">
        <v>285</v>
      </c>
      <c r="AR96" s="30" t="s">
        <v>370</v>
      </c>
      <c r="AS96" s="30" t="s">
        <v>245</v>
      </c>
      <c r="AT96" s="30" t="s">
        <v>245</v>
      </c>
      <c r="AU96" s="30" t="s">
        <v>245</v>
      </c>
      <c r="AV96" s="30" t="s">
        <v>286</v>
      </c>
      <c r="AW96" s="30">
        <v>2015</v>
      </c>
      <c r="AX96" s="30">
        <v>80</v>
      </c>
      <c r="AY96" s="30" t="s">
        <v>245</v>
      </c>
      <c r="AZ96" s="30" t="s">
        <v>245</v>
      </c>
      <c r="BA96" s="30" t="s">
        <v>245</v>
      </c>
      <c r="BB96" s="30" t="s">
        <v>245</v>
      </c>
      <c r="BC96" s="30" t="s">
        <v>245</v>
      </c>
      <c r="BD96" s="30">
        <v>167</v>
      </c>
      <c r="BE96" s="30">
        <v>174</v>
      </c>
      <c r="BF96" s="30" t="s">
        <v>245</v>
      </c>
      <c r="BG96" s="30" t="s">
        <v>1040</v>
      </c>
      <c r="BH96" s="30" t="str">
        <f>HYPERLINK("http://dx.doi.org/10.1016/j.soilbio.2014.10.009","http://dx.doi.org/10.1016/j.soilbio.2014.10.009")</f>
        <v>http://dx.doi.org/10.1016/j.soilbio.2014.10.009</v>
      </c>
      <c r="BI96" s="30" t="s">
        <v>245</v>
      </c>
      <c r="BJ96" s="30" t="s">
        <v>245</v>
      </c>
      <c r="BK96" s="30" t="s">
        <v>245</v>
      </c>
      <c r="BL96" s="30" t="s">
        <v>245</v>
      </c>
      <c r="BM96" s="30" t="s">
        <v>245</v>
      </c>
      <c r="BN96" s="30" t="s">
        <v>245</v>
      </c>
      <c r="BO96" s="30" t="s">
        <v>245</v>
      </c>
      <c r="BP96" s="30" t="s">
        <v>245</v>
      </c>
      <c r="BQ96" s="30" t="s">
        <v>245</v>
      </c>
      <c r="BR96" s="30" t="s">
        <v>245</v>
      </c>
      <c r="BS96" s="30" t="s">
        <v>245</v>
      </c>
      <c r="BT96" s="30" t="s">
        <v>245</v>
      </c>
      <c r="BU96" s="30" t="s">
        <v>1041</v>
      </c>
      <c r="BV96" s="30" t="str">
        <f>HYPERLINK("https%3A%2F%2Fwww.webofscience.com%2Fwos%2Fwoscc%2Ffull-record%2FWOS:000346545800020","View Full Record in Web of Science")</f>
        <v>View Full Record in Web of Science</v>
      </c>
    </row>
    <row r="97" spans="1:74" x14ac:dyDescent="0.2">
      <c r="A97" s="30" t="s">
        <v>243</v>
      </c>
      <c r="B97" s="30" t="s">
        <v>1042</v>
      </c>
      <c r="C97" s="30" t="s">
        <v>245</v>
      </c>
      <c r="D97" s="30" t="s">
        <v>245</v>
      </c>
      <c r="E97" s="30" t="s">
        <v>245</v>
      </c>
      <c r="F97" s="30" t="s">
        <v>1043</v>
      </c>
      <c r="G97" s="30" t="s">
        <v>245</v>
      </c>
      <c r="H97" s="30" t="s">
        <v>245</v>
      </c>
      <c r="I97" s="30" t="s">
        <v>2826</v>
      </c>
      <c r="K97" s="30" t="s">
        <v>1044</v>
      </c>
      <c r="L97" s="30" t="s">
        <v>1045</v>
      </c>
      <c r="M97" s="30" t="s">
        <v>245</v>
      </c>
      <c r="N97" s="30" t="s">
        <v>245</v>
      </c>
      <c r="O97" s="30" t="s">
        <v>245</v>
      </c>
      <c r="P97" s="30" t="s">
        <v>245</v>
      </c>
      <c r="Q97" s="30" t="s">
        <v>245</v>
      </c>
      <c r="R97" s="30" t="s">
        <v>245</v>
      </c>
      <c r="S97" s="30" t="s">
        <v>245</v>
      </c>
      <c r="T97" s="30" t="s">
        <v>245</v>
      </c>
      <c r="U97" s="30" t="s">
        <v>245</v>
      </c>
      <c r="V97" s="30" t="s">
        <v>245</v>
      </c>
      <c r="W97" s="30" t="s">
        <v>245</v>
      </c>
      <c r="X97" s="30" t="s">
        <v>245</v>
      </c>
      <c r="Y97" s="30" t="s">
        <v>245</v>
      </c>
      <c r="Z97" s="30" t="s">
        <v>245</v>
      </c>
      <c r="AA97" s="30" t="s">
        <v>245</v>
      </c>
      <c r="AB97" s="30" t="s">
        <v>245</v>
      </c>
      <c r="AC97" s="30" t="s">
        <v>245</v>
      </c>
      <c r="AD97" s="30" t="s">
        <v>245</v>
      </c>
      <c r="AE97" s="30" t="s">
        <v>245</v>
      </c>
      <c r="AF97" s="30" t="s">
        <v>245</v>
      </c>
      <c r="AG97" s="30" t="s">
        <v>245</v>
      </c>
      <c r="AH97" s="30" t="s">
        <v>245</v>
      </c>
      <c r="AI97" s="30" t="s">
        <v>245</v>
      </c>
      <c r="AJ97" s="30" t="s">
        <v>245</v>
      </c>
      <c r="AK97" s="30" t="s">
        <v>245</v>
      </c>
      <c r="AL97" s="30" t="s">
        <v>245</v>
      </c>
      <c r="AM97" s="30" t="s">
        <v>245</v>
      </c>
      <c r="AN97" s="30" t="s">
        <v>245</v>
      </c>
      <c r="AO97" s="30" t="s">
        <v>245</v>
      </c>
      <c r="AP97" s="30" t="s">
        <v>245</v>
      </c>
      <c r="AQ97" s="30" t="s">
        <v>1046</v>
      </c>
      <c r="AR97" s="30" t="s">
        <v>1047</v>
      </c>
      <c r="AS97" s="30" t="s">
        <v>245</v>
      </c>
      <c r="AT97" s="30" t="s">
        <v>245</v>
      </c>
      <c r="AU97" s="30" t="s">
        <v>245</v>
      </c>
      <c r="AV97" s="30" t="s">
        <v>957</v>
      </c>
      <c r="AW97" s="30">
        <v>2023</v>
      </c>
      <c r="AX97" s="30">
        <v>321</v>
      </c>
      <c r="AY97" s="30" t="s">
        <v>245</v>
      </c>
      <c r="AZ97" s="30" t="s">
        <v>245</v>
      </c>
      <c r="BA97" s="30" t="s">
        <v>245</v>
      </c>
      <c r="BB97" s="30" t="s">
        <v>245</v>
      </c>
      <c r="BC97" s="30" t="s">
        <v>245</v>
      </c>
      <c r="BD97" s="30" t="s">
        <v>245</v>
      </c>
      <c r="BE97" s="30" t="s">
        <v>245</v>
      </c>
      <c r="BF97" s="30">
        <v>112264</v>
      </c>
      <c r="BG97" s="30" t="s">
        <v>1048</v>
      </c>
      <c r="BH97" s="30" t="str">
        <f>HYPERLINK("http://dx.doi.org/10.1016/j.scienta.2023.112264","http://dx.doi.org/10.1016/j.scienta.2023.112264")</f>
        <v>http://dx.doi.org/10.1016/j.scienta.2023.112264</v>
      </c>
      <c r="BI97" s="30" t="s">
        <v>245</v>
      </c>
      <c r="BJ97" s="30" t="s">
        <v>1049</v>
      </c>
      <c r="BK97" s="30" t="s">
        <v>245</v>
      </c>
      <c r="BL97" s="30" t="s">
        <v>245</v>
      </c>
      <c r="BM97" s="30" t="s">
        <v>245</v>
      </c>
      <c r="BN97" s="30" t="s">
        <v>245</v>
      </c>
      <c r="BO97" s="30" t="s">
        <v>245</v>
      </c>
      <c r="BP97" s="30" t="s">
        <v>245</v>
      </c>
      <c r="BQ97" s="30" t="s">
        <v>245</v>
      </c>
      <c r="BR97" s="30" t="s">
        <v>245</v>
      </c>
      <c r="BS97" s="30" t="s">
        <v>245</v>
      </c>
      <c r="BT97" s="30" t="s">
        <v>245</v>
      </c>
      <c r="BU97" s="30" t="s">
        <v>1050</v>
      </c>
      <c r="BV97" s="30" t="str">
        <f>HYPERLINK("https%3A%2F%2Fwww.webofscience.com%2Fwos%2Fwoscc%2Ffull-record%2FWOS:001036850500001","View Full Record in Web of Science")</f>
        <v>View Full Record in Web of Science</v>
      </c>
    </row>
    <row r="98" spans="1:74" x14ac:dyDescent="0.2">
      <c r="A98" s="30" t="s">
        <v>243</v>
      </c>
      <c r="B98" s="30" t="s">
        <v>1051</v>
      </c>
      <c r="C98" s="30" t="s">
        <v>245</v>
      </c>
      <c r="D98" s="30" t="s">
        <v>245</v>
      </c>
      <c r="E98" s="30" t="s">
        <v>245</v>
      </c>
      <c r="F98" s="30" t="s">
        <v>1052</v>
      </c>
      <c r="G98" s="30" t="s">
        <v>245</v>
      </c>
      <c r="H98" s="30" t="s">
        <v>245</v>
      </c>
      <c r="I98" s="30" t="s">
        <v>2823</v>
      </c>
      <c r="K98" s="30" t="s">
        <v>1053</v>
      </c>
      <c r="L98" s="30" t="s">
        <v>1054</v>
      </c>
      <c r="M98" s="30" t="s">
        <v>245</v>
      </c>
      <c r="N98" s="30" t="s">
        <v>245</v>
      </c>
      <c r="O98" s="30" t="s">
        <v>245</v>
      </c>
      <c r="P98" s="30" t="s">
        <v>245</v>
      </c>
      <c r="Q98" s="30" t="s">
        <v>245</v>
      </c>
      <c r="R98" s="30" t="s">
        <v>245</v>
      </c>
      <c r="S98" s="30" t="s">
        <v>245</v>
      </c>
      <c r="T98" s="30" t="s">
        <v>245</v>
      </c>
      <c r="U98" s="30" t="s">
        <v>245</v>
      </c>
      <c r="V98" s="30" t="s">
        <v>245</v>
      </c>
      <c r="W98" s="30" t="s">
        <v>245</v>
      </c>
      <c r="X98" s="30" t="s">
        <v>245</v>
      </c>
      <c r="Y98" s="30" t="s">
        <v>245</v>
      </c>
      <c r="Z98" s="30" t="s">
        <v>245</v>
      </c>
      <c r="AA98" s="30" t="s">
        <v>245</v>
      </c>
      <c r="AB98" s="30" t="s">
        <v>245</v>
      </c>
      <c r="AC98" s="30" t="s">
        <v>245</v>
      </c>
      <c r="AD98" s="30" t="s">
        <v>245</v>
      </c>
      <c r="AE98" s="30" t="s">
        <v>245</v>
      </c>
      <c r="AF98" s="30" t="s">
        <v>245</v>
      </c>
      <c r="AG98" s="30" t="s">
        <v>245</v>
      </c>
      <c r="AH98" s="30" t="s">
        <v>245</v>
      </c>
      <c r="AI98" s="30" t="s">
        <v>245</v>
      </c>
      <c r="AJ98" s="30" t="s">
        <v>245</v>
      </c>
      <c r="AK98" s="30" t="s">
        <v>245</v>
      </c>
      <c r="AL98" s="30" t="s">
        <v>245</v>
      </c>
      <c r="AM98" s="30" t="s">
        <v>245</v>
      </c>
      <c r="AN98" s="30" t="s">
        <v>245</v>
      </c>
      <c r="AO98" s="30" t="s">
        <v>245</v>
      </c>
      <c r="AP98" s="30" t="s">
        <v>245</v>
      </c>
      <c r="AQ98" s="30" t="s">
        <v>1055</v>
      </c>
      <c r="AR98" s="30" t="s">
        <v>1056</v>
      </c>
      <c r="AS98" s="30" t="s">
        <v>245</v>
      </c>
      <c r="AT98" s="30" t="s">
        <v>245</v>
      </c>
      <c r="AU98" s="30" t="s">
        <v>245</v>
      </c>
      <c r="AV98" s="30" t="s">
        <v>365</v>
      </c>
      <c r="AW98" s="30">
        <v>2016</v>
      </c>
      <c r="AX98" s="30">
        <v>36</v>
      </c>
      <c r="AY98" s="30">
        <v>1</v>
      </c>
      <c r="AZ98" s="30" t="s">
        <v>245</v>
      </c>
      <c r="BA98" s="30" t="s">
        <v>245</v>
      </c>
      <c r="BB98" s="30" t="s">
        <v>245</v>
      </c>
      <c r="BC98" s="30" t="s">
        <v>245</v>
      </c>
      <c r="BD98" s="30">
        <v>121</v>
      </c>
      <c r="BE98" s="30">
        <v>132</v>
      </c>
      <c r="BF98" s="30" t="s">
        <v>245</v>
      </c>
      <c r="BG98" s="30" t="s">
        <v>1057</v>
      </c>
      <c r="BH98" s="30" t="str">
        <f>HYPERLINK("http://dx.doi.org/10.1007/s13157-015-0722-7","http://dx.doi.org/10.1007/s13157-015-0722-7")</f>
        <v>http://dx.doi.org/10.1007/s13157-015-0722-7</v>
      </c>
      <c r="BI98" s="30" t="s">
        <v>245</v>
      </c>
      <c r="BJ98" s="30" t="s">
        <v>245</v>
      </c>
      <c r="BK98" s="30" t="s">
        <v>245</v>
      </c>
      <c r="BL98" s="30" t="s">
        <v>245</v>
      </c>
      <c r="BM98" s="30" t="s">
        <v>245</v>
      </c>
      <c r="BN98" s="30" t="s">
        <v>245</v>
      </c>
      <c r="BO98" s="30" t="s">
        <v>245</v>
      </c>
      <c r="BP98" s="30" t="s">
        <v>245</v>
      </c>
      <c r="BQ98" s="30" t="s">
        <v>245</v>
      </c>
      <c r="BR98" s="30" t="s">
        <v>245</v>
      </c>
      <c r="BS98" s="30" t="s">
        <v>245</v>
      </c>
      <c r="BT98" s="30" t="s">
        <v>245</v>
      </c>
      <c r="BU98" s="30" t="s">
        <v>1058</v>
      </c>
      <c r="BV98" s="30" t="str">
        <f>HYPERLINK("https%3A%2F%2Fwww.webofscience.com%2Fwos%2Fwoscc%2Ffull-record%2FWOS:000373644000011","View Full Record in Web of Science")</f>
        <v>View Full Record in Web of Science</v>
      </c>
    </row>
    <row r="99" spans="1:74" x14ac:dyDescent="0.2">
      <c r="A99" s="30" t="s">
        <v>243</v>
      </c>
      <c r="B99" s="30" t="s">
        <v>1059</v>
      </c>
      <c r="C99" s="30" t="s">
        <v>245</v>
      </c>
      <c r="D99" s="30" t="s">
        <v>245</v>
      </c>
      <c r="E99" s="30" t="s">
        <v>245</v>
      </c>
      <c r="F99" s="30" t="s">
        <v>1060</v>
      </c>
      <c r="G99" s="30" t="s">
        <v>245</v>
      </c>
      <c r="H99" s="30" t="s">
        <v>245</v>
      </c>
      <c r="K99" s="30" t="s">
        <v>62</v>
      </c>
      <c r="L99" s="30" t="s">
        <v>541</v>
      </c>
      <c r="M99" s="30" t="s">
        <v>245</v>
      </c>
      <c r="N99" s="30" t="s">
        <v>245</v>
      </c>
      <c r="O99" s="30" t="s">
        <v>245</v>
      </c>
      <c r="P99" s="30" t="s">
        <v>245</v>
      </c>
      <c r="Q99" s="30" t="s">
        <v>245</v>
      </c>
      <c r="R99" s="30" t="s">
        <v>245</v>
      </c>
      <c r="S99" s="30" t="s">
        <v>245</v>
      </c>
      <c r="T99" s="30" t="s">
        <v>245</v>
      </c>
      <c r="U99" s="30" t="s">
        <v>245</v>
      </c>
      <c r="V99" s="30" t="s">
        <v>245</v>
      </c>
      <c r="W99" s="30" t="s">
        <v>245</v>
      </c>
      <c r="X99" s="30" t="s">
        <v>245</v>
      </c>
      <c r="Y99" s="30" t="s">
        <v>245</v>
      </c>
      <c r="Z99" s="30" t="s">
        <v>245</v>
      </c>
      <c r="AA99" s="30" t="s">
        <v>245</v>
      </c>
      <c r="AB99" s="30" t="s">
        <v>245</v>
      </c>
      <c r="AC99" s="30" t="s">
        <v>1061</v>
      </c>
      <c r="AD99" s="30" t="s">
        <v>1062</v>
      </c>
      <c r="AE99" s="30" t="s">
        <v>245</v>
      </c>
      <c r="AF99" s="30" t="s">
        <v>245</v>
      </c>
      <c r="AG99" s="30" t="s">
        <v>245</v>
      </c>
      <c r="AH99" s="30" t="s">
        <v>245</v>
      </c>
      <c r="AI99" s="30" t="s">
        <v>245</v>
      </c>
      <c r="AJ99" s="30" t="s">
        <v>245</v>
      </c>
      <c r="AK99" s="30" t="s">
        <v>245</v>
      </c>
      <c r="AL99" s="30" t="s">
        <v>245</v>
      </c>
      <c r="AM99" s="30" t="s">
        <v>245</v>
      </c>
      <c r="AN99" s="30" t="s">
        <v>245</v>
      </c>
      <c r="AO99" s="30" t="s">
        <v>245</v>
      </c>
      <c r="AP99" s="30" t="s">
        <v>245</v>
      </c>
      <c r="AQ99" s="30" t="s">
        <v>544</v>
      </c>
      <c r="AR99" s="30" t="s">
        <v>545</v>
      </c>
      <c r="AS99" s="30" t="s">
        <v>245</v>
      </c>
      <c r="AT99" s="30" t="s">
        <v>245</v>
      </c>
      <c r="AU99" s="30" t="s">
        <v>245</v>
      </c>
      <c r="AV99" s="30" t="s">
        <v>1063</v>
      </c>
      <c r="AW99" s="30">
        <v>2016</v>
      </c>
      <c r="AX99" s="30">
        <v>230</v>
      </c>
      <c r="AY99" s="30" t="s">
        <v>245</v>
      </c>
      <c r="AZ99" s="30" t="s">
        <v>245</v>
      </c>
      <c r="BA99" s="30" t="s">
        <v>245</v>
      </c>
      <c r="BB99" s="30" t="s">
        <v>245</v>
      </c>
      <c r="BC99" s="30" t="s">
        <v>245</v>
      </c>
      <c r="BD99" s="30">
        <v>127</v>
      </c>
      <c r="BE99" s="30">
        <v>138</v>
      </c>
      <c r="BF99" s="30" t="s">
        <v>245</v>
      </c>
      <c r="BG99" s="30" t="s">
        <v>1064</v>
      </c>
      <c r="BH99" s="30" t="str">
        <f>HYPERLINK("http://dx.doi.org/10.1016/j.agee.2016.05.034","http://dx.doi.org/10.1016/j.agee.2016.05.034")</f>
        <v>http://dx.doi.org/10.1016/j.agee.2016.05.034</v>
      </c>
      <c r="BI99" s="30" t="s">
        <v>245</v>
      </c>
      <c r="BJ99" s="30" t="s">
        <v>245</v>
      </c>
      <c r="BK99" s="30" t="s">
        <v>245</v>
      </c>
      <c r="BL99" s="30" t="s">
        <v>245</v>
      </c>
      <c r="BM99" s="30" t="s">
        <v>245</v>
      </c>
      <c r="BN99" s="30" t="s">
        <v>245</v>
      </c>
      <c r="BO99" s="30" t="s">
        <v>245</v>
      </c>
      <c r="BP99" s="30" t="s">
        <v>245</v>
      </c>
      <c r="BQ99" s="30" t="s">
        <v>245</v>
      </c>
      <c r="BR99" s="30" t="s">
        <v>245</v>
      </c>
      <c r="BS99" s="30" t="s">
        <v>245</v>
      </c>
      <c r="BT99" s="30" t="s">
        <v>245</v>
      </c>
      <c r="BU99" s="30" t="s">
        <v>1065</v>
      </c>
      <c r="BV99" s="30" t="str">
        <f>HYPERLINK("https%3A%2F%2Fwww.webofscience.com%2Fwos%2Fwoscc%2Ffull-record%2FWOS:000381834500014","View Full Record in Web of Science")</f>
        <v>View Full Record in Web of Science</v>
      </c>
    </row>
    <row r="100" spans="1:74" x14ac:dyDescent="0.2">
      <c r="A100" s="30" t="s">
        <v>243</v>
      </c>
      <c r="B100" s="30" t="s">
        <v>1066</v>
      </c>
      <c r="C100" s="30" t="s">
        <v>245</v>
      </c>
      <c r="D100" s="30" t="s">
        <v>245</v>
      </c>
      <c r="E100" s="30" t="s">
        <v>245</v>
      </c>
      <c r="F100" s="30" t="s">
        <v>1067</v>
      </c>
      <c r="G100" s="30" t="s">
        <v>245</v>
      </c>
      <c r="H100" s="30" t="s">
        <v>245</v>
      </c>
      <c r="K100" s="30" t="s">
        <v>66</v>
      </c>
      <c r="L100" s="30" t="s">
        <v>1068</v>
      </c>
      <c r="M100" s="30" t="s">
        <v>245</v>
      </c>
      <c r="N100" s="30" t="s">
        <v>245</v>
      </c>
      <c r="O100" s="30" t="s">
        <v>245</v>
      </c>
      <c r="P100" s="30" t="s">
        <v>245</v>
      </c>
      <c r="Q100" s="30" t="s">
        <v>245</v>
      </c>
      <c r="R100" s="30" t="s">
        <v>245</v>
      </c>
      <c r="S100" s="30" t="s">
        <v>245</v>
      </c>
      <c r="T100" s="30" t="s">
        <v>245</v>
      </c>
      <c r="U100" s="30" t="s">
        <v>245</v>
      </c>
      <c r="V100" s="30" t="s">
        <v>245</v>
      </c>
      <c r="W100" s="30" t="s">
        <v>245</v>
      </c>
      <c r="X100" s="30" t="s">
        <v>245</v>
      </c>
      <c r="Y100" s="30" t="s">
        <v>245</v>
      </c>
      <c r="Z100" s="30" t="s">
        <v>245</v>
      </c>
      <c r="AA100" s="30" t="s">
        <v>245</v>
      </c>
      <c r="AB100" s="30" t="s">
        <v>245</v>
      </c>
      <c r="AC100" s="30" t="s">
        <v>1069</v>
      </c>
      <c r="AD100" s="30" t="s">
        <v>1070</v>
      </c>
      <c r="AE100" s="30" t="s">
        <v>245</v>
      </c>
      <c r="AF100" s="30" t="s">
        <v>245</v>
      </c>
      <c r="AG100" s="30" t="s">
        <v>245</v>
      </c>
      <c r="AH100" s="30" t="s">
        <v>245</v>
      </c>
      <c r="AI100" s="30" t="s">
        <v>245</v>
      </c>
      <c r="AJ100" s="30" t="s">
        <v>245</v>
      </c>
      <c r="AK100" s="30" t="s">
        <v>245</v>
      </c>
      <c r="AL100" s="30" t="s">
        <v>245</v>
      </c>
      <c r="AM100" s="30" t="s">
        <v>245</v>
      </c>
      <c r="AN100" s="30" t="s">
        <v>245</v>
      </c>
      <c r="AO100" s="30" t="s">
        <v>245</v>
      </c>
      <c r="AP100" s="30" t="s">
        <v>245</v>
      </c>
      <c r="AQ100" s="30" t="s">
        <v>1071</v>
      </c>
      <c r="AR100" s="30" t="s">
        <v>1072</v>
      </c>
      <c r="AS100" s="30" t="s">
        <v>245</v>
      </c>
      <c r="AT100" s="30" t="s">
        <v>245</v>
      </c>
      <c r="AU100" s="30" t="s">
        <v>245</v>
      </c>
      <c r="AV100" s="30" t="s">
        <v>286</v>
      </c>
      <c r="AW100" s="30">
        <v>2021</v>
      </c>
      <c r="AX100" s="30">
        <v>67</v>
      </c>
      <c r="AY100" s="30">
        <v>1</v>
      </c>
      <c r="AZ100" s="30" t="s">
        <v>245</v>
      </c>
      <c r="BA100" s="30" t="s">
        <v>245</v>
      </c>
      <c r="BB100" s="30" t="s">
        <v>245</v>
      </c>
      <c r="BC100" s="30" t="s">
        <v>245</v>
      </c>
      <c r="BD100" s="30">
        <v>63</v>
      </c>
      <c r="BE100" s="30">
        <v>72</v>
      </c>
      <c r="BF100" s="30" t="s">
        <v>245</v>
      </c>
      <c r="BG100" s="30" t="s">
        <v>1073</v>
      </c>
      <c r="BH100" s="30" t="str">
        <f>HYPERLINK("http://dx.doi.org/10.1111/grs.12287","http://dx.doi.org/10.1111/grs.12287")</f>
        <v>http://dx.doi.org/10.1111/grs.12287</v>
      </c>
      <c r="BI100" s="30" t="s">
        <v>245</v>
      </c>
      <c r="BJ100" s="30" t="s">
        <v>1074</v>
      </c>
      <c r="BK100" s="30" t="s">
        <v>245</v>
      </c>
      <c r="BL100" s="30" t="s">
        <v>245</v>
      </c>
      <c r="BM100" s="30" t="s">
        <v>245</v>
      </c>
      <c r="BN100" s="30" t="s">
        <v>245</v>
      </c>
      <c r="BO100" s="30" t="s">
        <v>245</v>
      </c>
      <c r="BP100" s="30" t="s">
        <v>245</v>
      </c>
      <c r="BQ100" s="30" t="s">
        <v>245</v>
      </c>
      <c r="BR100" s="30" t="s">
        <v>245</v>
      </c>
      <c r="BS100" s="30" t="s">
        <v>245</v>
      </c>
      <c r="BT100" s="30" t="s">
        <v>245</v>
      </c>
      <c r="BU100" s="30" t="s">
        <v>1075</v>
      </c>
      <c r="BV100" s="30" t="str">
        <f>HYPERLINK("https%3A%2F%2Fwww.webofscience.com%2Fwos%2Fwoscc%2Ffull-record%2FWOS:000537383800001","View Full Record in Web of Science")</f>
        <v>View Full Record in Web of Science</v>
      </c>
    </row>
    <row r="101" spans="1:74" x14ac:dyDescent="0.2">
      <c r="A101" s="30" t="s">
        <v>243</v>
      </c>
      <c r="B101" s="30" t="s">
        <v>1076</v>
      </c>
      <c r="C101" s="30" t="s">
        <v>245</v>
      </c>
      <c r="D101" s="30" t="s">
        <v>245</v>
      </c>
      <c r="E101" s="30" t="s">
        <v>245</v>
      </c>
      <c r="F101" s="30" t="s">
        <v>1076</v>
      </c>
      <c r="G101" s="30" t="s">
        <v>245</v>
      </c>
      <c r="H101" s="30" t="s">
        <v>245</v>
      </c>
      <c r="I101" s="30" t="s">
        <v>2823</v>
      </c>
      <c r="K101" s="30" t="s">
        <v>1077</v>
      </c>
      <c r="L101" s="30" t="s">
        <v>587</v>
      </c>
      <c r="M101" s="30" t="s">
        <v>245</v>
      </c>
      <c r="N101" s="30" t="s">
        <v>245</v>
      </c>
      <c r="O101" s="30" t="s">
        <v>245</v>
      </c>
      <c r="P101" s="30" t="s">
        <v>245</v>
      </c>
      <c r="Q101" s="30" t="s">
        <v>245</v>
      </c>
      <c r="R101" s="30" t="s">
        <v>245</v>
      </c>
      <c r="S101" s="30" t="s">
        <v>245</v>
      </c>
      <c r="T101" s="30" t="s">
        <v>245</v>
      </c>
      <c r="U101" s="30" t="s">
        <v>245</v>
      </c>
      <c r="V101" s="30" t="s">
        <v>245</v>
      </c>
      <c r="W101" s="30" t="s">
        <v>245</v>
      </c>
      <c r="X101" s="30" t="s">
        <v>245</v>
      </c>
      <c r="Y101" s="30" t="s">
        <v>245</v>
      </c>
      <c r="Z101" s="30" t="s">
        <v>245</v>
      </c>
      <c r="AA101" s="30" t="s">
        <v>245</v>
      </c>
      <c r="AB101" s="30" t="s">
        <v>245</v>
      </c>
      <c r="AC101" s="30" t="s">
        <v>1078</v>
      </c>
      <c r="AD101" s="30" t="s">
        <v>1079</v>
      </c>
      <c r="AE101" s="30" t="s">
        <v>245</v>
      </c>
      <c r="AF101" s="30" t="s">
        <v>245</v>
      </c>
      <c r="AG101" s="30" t="s">
        <v>245</v>
      </c>
      <c r="AH101" s="30" t="s">
        <v>245</v>
      </c>
      <c r="AI101" s="30" t="s">
        <v>245</v>
      </c>
      <c r="AJ101" s="30" t="s">
        <v>245</v>
      </c>
      <c r="AK101" s="30" t="s">
        <v>245</v>
      </c>
      <c r="AL101" s="30" t="s">
        <v>245</v>
      </c>
      <c r="AM101" s="30" t="s">
        <v>245</v>
      </c>
      <c r="AN101" s="30" t="s">
        <v>245</v>
      </c>
      <c r="AO101" s="30" t="s">
        <v>245</v>
      </c>
      <c r="AP101" s="30" t="s">
        <v>245</v>
      </c>
      <c r="AQ101" s="30" t="s">
        <v>590</v>
      </c>
      <c r="AR101" s="30" t="s">
        <v>591</v>
      </c>
      <c r="AS101" s="30" t="s">
        <v>245</v>
      </c>
      <c r="AT101" s="30" t="s">
        <v>245</v>
      </c>
      <c r="AU101" s="30" t="s">
        <v>245</v>
      </c>
      <c r="AV101" s="30" t="s">
        <v>365</v>
      </c>
      <c r="AW101" s="30">
        <v>2003</v>
      </c>
      <c r="AX101" s="30">
        <v>166</v>
      </c>
      <c r="AY101" s="30">
        <v>1</v>
      </c>
      <c r="AZ101" s="30" t="s">
        <v>245</v>
      </c>
      <c r="BA101" s="30" t="s">
        <v>245</v>
      </c>
      <c r="BB101" s="30" t="s">
        <v>245</v>
      </c>
      <c r="BC101" s="30" t="s">
        <v>245</v>
      </c>
      <c r="BD101" s="30">
        <v>39</v>
      </c>
      <c r="BE101" s="30">
        <v>45</v>
      </c>
      <c r="BF101" s="30" t="s">
        <v>245</v>
      </c>
      <c r="BG101" s="30" t="s">
        <v>1080</v>
      </c>
      <c r="BH101" s="30" t="str">
        <f>HYPERLINK("http://dx.doi.org/10.1002/jpln.200390010","http://dx.doi.org/10.1002/jpln.200390010")</f>
        <v>http://dx.doi.org/10.1002/jpln.200390010</v>
      </c>
      <c r="BI101" s="30" t="s">
        <v>245</v>
      </c>
      <c r="BJ101" s="30" t="s">
        <v>245</v>
      </c>
      <c r="BK101" s="30" t="s">
        <v>245</v>
      </c>
      <c r="BL101" s="30" t="s">
        <v>245</v>
      </c>
      <c r="BM101" s="30" t="s">
        <v>245</v>
      </c>
      <c r="BN101" s="30" t="s">
        <v>245</v>
      </c>
      <c r="BO101" s="30" t="s">
        <v>245</v>
      </c>
      <c r="BP101" s="30" t="s">
        <v>245</v>
      </c>
      <c r="BQ101" s="30" t="s">
        <v>245</v>
      </c>
      <c r="BR101" s="30" t="s">
        <v>245</v>
      </c>
      <c r="BS101" s="30" t="s">
        <v>245</v>
      </c>
      <c r="BT101" s="30" t="s">
        <v>245</v>
      </c>
      <c r="BU101" s="30" t="s">
        <v>1081</v>
      </c>
      <c r="BV101" s="30" t="str">
        <f>HYPERLINK("https%3A%2F%2Fwww.webofscience.com%2Fwos%2Fwoscc%2Ffull-record%2FWOS:000181461600005","View Full Record in Web of Science")</f>
        <v>View Full Record in Web of Science</v>
      </c>
    </row>
    <row r="102" spans="1:74" x14ac:dyDescent="0.2">
      <c r="A102" s="30" t="s">
        <v>243</v>
      </c>
      <c r="B102" s="30" t="s">
        <v>1082</v>
      </c>
      <c r="C102" s="30" t="s">
        <v>245</v>
      </c>
      <c r="D102" s="30" t="s">
        <v>245</v>
      </c>
      <c r="E102" s="30" t="s">
        <v>245</v>
      </c>
      <c r="F102" s="30" t="s">
        <v>1083</v>
      </c>
      <c r="G102" s="30" t="s">
        <v>245</v>
      </c>
      <c r="H102" s="30" t="s">
        <v>245</v>
      </c>
      <c r="I102" s="30" t="s">
        <v>2821</v>
      </c>
      <c r="K102" s="30" t="s">
        <v>1084</v>
      </c>
      <c r="L102" s="30" t="s">
        <v>402</v>
      </c>
      <c r="M102" s="30" t="s">
        <v>245</v>
      </c>
      <c r="N102" s="30" t="s">
        <v>245</v>
      </c>
      <c r="O102" s="30" t="s">
        <v>245</v>
      </c>
      <c r="P102" s="30" t="s">
        <v>245</v>
      </c>
      <c r="Q102" s="30" t="s">
        <v>245</v>
      </c>
      <c r="R102" s="30" t="s">
        <v>245</v>
      </c>
      <c r="S102" s="30" t="s">
        <v>245</v>
      </c>
      <c r="T102" s="30" t="s">
        <v>245</v>
      </c>
      <c r="U102" s="30" t="s">
        <v>245</v>
      </c>
      <c r="V102" s="30" t="s">
        <v>245</v>
      </c>
      <c r="W102" s="30" t="s">
        <v>245</v>
      </c>
      <c r="X102" s="30" t="s">
        <v>245</v>
      </c>
      <c r="Y102" s="30" t="s">
        <v>245</v>
      </c>
      <c r="Z102" s="30" t="s">
        <v>245</v>
      </c>
      <c r="AA102" s="30" t="s">
        <v>245</v>
      </c>
      <c r="AB102" s="30" t="s">
        <v>245</v>
      </c>
      <c r="AC102" s="30" t="s">
        <v>1085</v>
      </c>
      <c r="AD102" s="30" t="s">
        <v>1086</v>
      </c>
      <c r="AE102" s="30" t="s">
        <v>245</v>
      </c>
      <c r="AF102" s="30" t="s">
        <v>245</v>
      </c>
      <c r="AG102" s="30" t="s">
        <v>245</v>
      </c>
      <c r="AH102" s="30" t="s">
        <v>245</v>
      </c>
      <c r="AI102" s="30" t="s">
        <v>245</v>
      </c>
      <c r="AJ102" s="30" t="s">
        <v>245</v>
      </c>
      <c r="AK102" s="30" t="s">
        <v>245</v>
      </c>
      <c r="AL102" s="30" t="s">
        <v>245</v>
      </c>
      <c r="AM102" s="30" t="s">
        <v>245</v>
      </c>
      <c r="AN102" s="30" t="s">
        <v>245</v>
      </c>
      <c r="AO102" s="30" t="s">
        <v>245</v>
      </c>
      <c r="AP102" s="30" t="s">
        <v>245</v>
      </c>
      <c r="AQ102" s="30" t="s">
        <v>405</v>
      </c>
      <c r="AR102" s="30" t="s">
        <v>406</v>
      </c>
      <c r="AS102" s="30" t="s">
        <v>245</v>
      </c>
      <c r="AT102" s="30" t="s">
        <v>245</v>
      </c>
      <c r="AU102" s="30" t="s">
        <v>245</v>
      </c>
      <c r="AV102" s="30" t="s">
        <v>286</v>
      </c>
      <c r="AW102" s="30">
        <v>2014</v>
      </c>
      <c r="AX102" s="30">
        <v>14</v>
      </c>
      <c r="AY102" s="30">
        <v>1</v>
      </c>
      <c r="AZ102" s="30" t="s">
        <v>245</v>
      </c>
      <c r="BA102" s="30" t="s">
        <v>245</v>
      </c>
      <c r="BB102" s="30" t="s">
        <v>245</v>
      </c>
      <c r="BC102" s="30" t="s">
        <v>245</v>
      </c>
      <c r="BD102" s="30">
        <v>146</v>
      </c>
      <c r="BE102" s="30">
        <v>154</v>
      </c>
      <c r="BF102" s="30" t="s">
        <v>245</v>
      </c>
      <c r="BG102" s="30" t="s">
        <v>1087</v>
      </c>
      <c r="BH102" s="30" t="str">
        <f>HYPERLINK("http://dx.doi.org/10.1007/s11368-013-0785-0","http://dx.doi.org/10.1007/s11368-013-0785-0")</f>
        <v>http://dx.doi.org/10.1007/s11368-013-0785-0</v>
      </c>
      <c r="BI102" s="30" t="s">
        <v>245</v>
      </c>
      <c r="BJ102" s="30" t="s">
        <v>245</v>
      </c>
      <c r="BK102" s="30" t="s">
        <v>245</v>
      </c>
      <c r="BL102" s="30" t="s">
        <v>245</v>
      </c>
      <c r="BM102" s="30" t="s">
        <v>245</v>
      </c>
      <c r="BN102" s="30" t="s">
        <v>245</v>
      </c>
      <c r="BO102" s="30" t="s">
        <v>245</v>
      </c>
      <c r="BP102" s="30" t="s">
        <v>245</v>
      </c>
      <c r="BQ102" s="30" t="s">
        <v>245</v>
      </c>
      <c r="BR102" s="30" t="s">
        <v>245</v>
      </c>
      <c r="BS102" s="30" t="s">
        <v>245</v>
      </c>
      <c r="BT102" s="30" t="s">
        <v>245</v>
      </c>
      <c r="BU102" s="30" t="s">
        <v>1088</v>
      </c>
      <c r="BV102" s="30" t="str">
        <f>HYPERLINK("https%3A%2F%2Fwww.webofscience.com%2Fwos%2Fwoscc%2Ffull-record%2FWOS:000330398600013","View Full Record in Web of Science")</f>
        <v>View Full Record in Web of Science</v>
      </c>
    </row>
    <row r="103" spans="1:74" x14ac:dyDescent="0.2">
      <c r="A103" s="30" t="s">
        <v>243</v>
      </c>
      <c r="B103" s="30" t="s">
        <v>1089</v>
      </c>
      <c r="C103" s="30" t="s">
        <v>245</v>
      </c>
      <c r="D103" s="30" t="s">
        <v>245</v>
      </c>
      <c r="E103" s="30" t="s">
        <v>245</v>
      </c>
      <c r="F103" s="30" t="s">
        <v>1090</v>
      </c>
      <c r="G103" s="30" t="s">
        <v>245</v>
      </c>
      <c r="H103" s="30" t="s">
        <v>245</v>
      </c>
      <c r="I103" s="30" t="s">
        <v>2821</v>
      </c>
      <c r="K103" s="30" t="s">
        <v>1091</v>
      </c>
      <c r="L103" s="30" t="s">
        <v>1092</v>
      </c>
      <c r="M103" s="30" t="s">
        <v>245</v>
      </c>
      <c r="N103" s="30" t="s">
        <v>245</v>
      </c>
      <c r="O103" s="30" t="s">
        <v>245</v>
      </c>
      <c r="P103" s="30" t="s">
        <v>245</v>
      </c>
      <c r="Q103" s="30" t="s">
        <v>245</v>
      </c>
      <c r="R103" s="30" t="s">
        <v>245</v>
      </c>
      <c r="S103" s="30" t="s">
        <v>245</v>
      </c>
      <c r="T103" s="30" t="s">
        <v>245</v>
      </c>
      <c r="U103" s="30" t="s">
        <v>245</v>
      </c>
      <c r="V103" s="30" t="s">
        <v>245</v>
      </c>
      <c r="W103" s="30" t="s">
        <v>245</v>
      </c>
      <c r="X103" s="30" t="s">
        <v>245</v>
      </c>
      <c r="Y103" s="30" t="s">
        <v>245</v>
      </c>
      <c r="Z103" s="30" t="s">
        <v>245</v>
      </c>
      <c r="AA103" s="30" t="s">
        <v>245</v>
      </c>
      <c r="AB103" s="30" t="s">
        <v>245</v>
      </c>
      <c r="AC103" s="30" t="s">
        <v>1093</v>
      </c>
      <c r="AD103" s="30" t="s">
        <v>1094</v>
      </c>
      <c r="AE103" s="30" t="s">
        <v>245</v>
      </c>
      <c r="AF103" s="30" t="s">
        <v>245</v>
      </c>
      <c r="AG103" s="30" t="s">
        <v>245</v>
      </c>
      <c r="AH103" s="30" t="s">
        <v>245</v>
      </c>
      <c r="AI103" s="30" t="s">
        <v>245</v>
      </c>
      <c r="AJ103" s="30" t="s">
        <v>245</v>
      </c>
      <c r="AK103" s="30" t="s">
        <v>245</v>
      </c>
      <c r="AL103" s="30" t="s">
        <v>245</v>
      </c>
      <c r="AM103" s="30" t="s">
        <v>245</v>
      </c>
      <c r="AN103" s="30" t="s">
        <v>245</v>
      </c>
      <c r="AO103" s="30" t="s">
        <v>245</v>
      </c>
      <c r="AP103" s="30" t="s">
        <v>245</v>
      </c>
      <c r="AQ103" s="30" t="s">
        <v>1095</v>
      </c>
      <c r="AR103" s="30" t="s">
        <v>1096</v>
      </c>
      <c r="AS103" s="30" t="s">
        <v>245</v>
      </c>
      <c r="AT103" s="30" t="s">
        <v>245</v>
      </c>
      <c r="AU103" s="30" t="s">
        <v>245</v>
      </c>
      <c r="AV103" s="30" t="s">
        <v>286</v>
      </c>
      <c r="AW103" s="30">
        <v>2023</v>
      </c>
      <c r="AX103" s="30">
        <v>115</v>
      </c>
      <c r="AY103" s="30">
        <v>1</v>
      </c>
      <c r="AZ103" s="30" t="s">
        <v>245</v>
      </c>
      <c r="BA103" s="30" t="s">
        <v>245</v>
      </c>
      <c r="BB103" s="30" t="s">
        <v>245</v>
      </c>
      <c r="BC103" s="30" t="s">
        <v>245</v>
      </c>
      <c r="BD103" s="30">
        <v>161</v>
      </c>
      <c r="BE103" s="30">
        <v>180</v>
      </c>
      <c r="BF103" s="30" t="s">
        <v>245</v>
      </c>
      <c r="BG103" s="30" t="s">
        <v>1097</v>
      </c>
      <c r="BH103" s="30" t="str">
        <f>HYPERLINK("http://dx.doi.org/10.1002/agj2.21213","http://dx.doi.org/10.1002/agj2.21213")</f>
        <v>http://dx.doi.org/10.1002/agj2.21213</v>
      </c>
      <c r="BI103" s="30" t="s">
        <v>245</v>
      </c>
      <c r="BJ103" s="30" t="s">
        <v>1098</v>
      </c>
      <c r="BK103" s="30" t="s">
        <v>245</v>
      </c>
      <c r="BL103" s="30" t="s">
        <v>245</v>
      </c>
      <c r="BM103" s="30" t="s">
        <v>245</v>
      </c>
      <c r="BN103" s="30" t="s">
        <v>245</v>
      </c>
      <c r="BO103" s="30" t="s">
        <v>245</v>
      </c>
      <c r="BP103" s="30" t="s">
        <v>245</v>
      </c>
      <c r="BQ103" s="30" t="s">
        <v>245</v>
      </c>
      <c r="BR103" s="30" t="s">
        <v>245</v>
      </c>
      <c r="BS103" s="30" t="s">
        <v>245</v>
      </c>
      <c r="BT103" s="30" t="s">
        <v>245</v>
      </c>
      <c r="BU103" s="30" t="s">
        <v>1099</v>
      </c>
      <c r="BV103" s="30" t="str">
        <f>HYPERLINK("https%3A%2F%2Fwww.webofscience.com%2Fwos%2Fwoscc%2Ffull-record%2FWOS:000911994800001","View Full Record in Web of Science")</f>
        <v>View Full Record in Web of Science</v>
      </c>
    </row>
    <row r="104" spans="1:74" x14ac:dyDescent="0.2">
      <c r="A104" s="30" t="s">
        <v>243</v>
      </c>
      <c r="B104" s="30" t="s">
        <v>1100</v>
      </c>
      <c r="C104" s="30" t="s">
        <v>245</v>
      </c>
      <c r="D104" s="30" t="s">
        <v>245</v>
      </c>
      <c r="E104" s="30" t="s">
        <v>245</v>
      </c>
      <c r="F104" s="30" t="s">
        <v>1101</v>
      </c>
      <c r="G104" s="30" t="s">
        <v>245</v>
      </c>
      <c r="H104" s="30" t="s">
        <v>245</v>
      </c>
      <c r="I104" s="30" t="s">
        <v>2826</v>
      </c>
      <c r="K104" s="30" t="s">
        <v>1102</v>
      </c>
      <c r="L104" s="30" t="s">
        <v>413</v>
      </c>
      <c r="M104" s="30" t="s">
        <v>245</v>
      </c>
      <c r="N104" s="30" t="s">
        <v>245</v>
      </c>
      <c r="O104" s="30" t="s">
        <v>245</v>
      </c>
      <c r="P104" s="30" t="s">
        <v>245</v>
      </c>
      <c r="Q104" s="30" t="s">
        <v>245</v>
      </c>
      <c r="R104" s="30" t="s">
        <v>245</v>
      </c>
      <c r="S104" s="30" t="s">
        <v>245</v>
      </c>
      <c r="T104" s="30" t="s">
        <v>245</v>
      </c>
      <c r="U104" s="30" t="s">
        <v>245</v>
      </c>
      <c r="V104" s="30" t="s">
        <v>245</v>
      </c>
      <c r="W104" s="30" t="s">
        <v>245</v>
      </c>
      <c r="X104" s="30" t="s">
        <v>245</v>
      </c>
      <c r="Y104" s="30" t="s">
        <v>245</v>
      </c>
      <c r="Z104" s="30" t="s">
        <v>245</v>
      </c>
      <c r="AA104" s="30" t="s">
        <v>245</v>
      </c>
      <c r="AB104" s="30" t="s">
        <v>245</v>
      </c>
      <c r="AC104" s="30" t="s">
        <v>1103</v>
      </c>
      <c r="AD104" s="30" t="s">
        <v>1104</v>
      </c>
      <c r="AE104" s="30" t="s">
        <v>245</v>
      </c>
      <c r="AF104" s="30" t="s">
        <v>245</v>
      </c>
      <c r="AG104" s="30" t="s">
        <v>245</v>
      </c>
      <c r="AH104" s="30" t="s">
        <v>245</v>
      </c>
      <c r="AI104" s="30" t="s">
        <v>245</v>
      </c>
      <c r="AJ104" s="30" t="s">
        <v>245</v>
      </c>
      <c r="AK104" s="30" t="s">
        <v>245</v>
      </c>
      <c r="AL104" s="30" t="s">
        <v>245</v>
      </c>
      <c r="AM104" s="30" t="s">
        <v>245</v>
      </c>
      <c r="AN104" s="30" t="s">
        <v>245</v>
      </c>
      <c r="AO104" s="30" t="s">
        <v>245</v>
      </c>
      <c r="AP104" s="30" t="s">
        <v>245</v>
      </c>
      <c r="AQ104" s="30" t="s">
        <v>416</v>
      </c>
      <c r="AR104" s="30" t="s">
        <v>417</v>
      </c>
      <c r="AS104" s="30" t="s">
        <v>245</v>
      </c>
      <c r="AT104" s="30" t="s">
        <v>245</v>
      </c>
      <c r="AU104" s="30" t="s">
        <v>245</v>
      </c>
      <c r="AV104" s="30" t="s">
        <v>1105</v>
      </c>
      <c r="AW104" s="30">
        <v>2024</v>
      </c>
      <c r="AX104" s="30">
        <v>908</v>
      </c>
      <c r="AY104" s="30" t="s">
        <v>245</v>
      </c>
      <c r="AZ104" s="30" t="s">
        <v>245</v>
      </c>
      <c r="BA104" s="30" t="s">
        <v>245</v>
      </c>
      <c r="BB104" s="30" t="s">
        <v>245</v>
      </c>
      <c r="BC104" s="30" t="s">
        <v>245</v>
      </c>
      <c r="BD104" s="30" t="s">
        <v>245</v>
      </c>
      <c r="BE104" s="30" t="s">
        <v>245</v>
      </c>
      <c r="BF104" s="30">
        <v>168041</v>
      </c>
      <c r="BG104" s="30" t="s">
        <v>1106</v>
      </c>
      <c r="BH104" s="30" t="str">
        <f>HYPERLINK("http://dx.doi.org/10.1016/j.scitotenv.2023.168041","http://dx.doi.org/10.1016/j.scitotenv.2023.168041")</f>
        <v>http://dx.doi.org/10.1016/j.scitotenv.2023.168041</v>
      </c>
      <c r="BI104" s="30" t="s">
        <v>245</v>
      </c>
      <c r="BJ104" s="30" t="s">
        <v>321</v>
      </c>
      <c r="BK104" s="30" t="s">
        <v>245</v>
      </c>
      <c r="BL104" s="30" t="s">
        <v>245</v>
      </c>
      <c r="BM104" s="30" t="s">
        <v>245</v>
      </c>
      <c r="BN104" s="30" t="s">
        <v>245</v>
      </c>
      <c r="BO104" s="30" t="s">
        <v>245</v>
      </c>
      <c r="BP104" s="30">
        <v>37898206</v>
      </c>
      <c r="BQ104" s="30" t="s">
        <v>245</v>
      </c>
      <c r="BR104" s="30" t="s">
        <v>245</v>
      </c>
      <c r="BS104" s="30" t="s">
        <v>245</v>
      </c>
      <c r="BT104" s="30" t="s">
        <v>245</v>
      </c>
      <c r="BU104" s="30" t="s">
        <v>1107</v>
      </c>
      <c r="BV104" s="30" t="str">
        <f>HYPERLINK("https%3A%2F%2Fwww.webofscience.com%2Fwos%2Fwoscc%2Ffull-record%2FWOS:001109772700001","View Full Record in Web of Science")</f>
        <v>View Full Record in Web of Science</v>
      </c>
    </row>
    <row r="105" spans="1:74" x14ac:dyDescent="0.2">
      <c r="A105" s="30" t="s">
        <v>243</v>
      </c>
      <c r="B105" s="30" t="s">
        <v>1108</v>
      </c>
      <c r="C105" s="30" t="s">
        <v>245</v>
      </c>
      <c r="D105" s="30" t="s">
        <v>245</v>
      </c>
      <c r="E105" s="30" t="s">
        <v>245</v>
      </c>
      <c r="F105" s="30" t="s">
        <v>1108</v>
      </c>
      <c r="G105" s="30" t="s">
        <v>245</v>
      </c>
      <c r="H105" s="30" t="s">
        <v>245</v>
      </c>
      <c r="J105" s="30" t="s">
        <v>2831</v>
      </c>
      <c r="K105" s="30" t="s">
        <v>1109</v>
      </c>
      <c r="L105" s="30" t="s">
        <v>350</v>
      </c>
      <c r="M105" s="30" t="s">
        <v>245</v>
      </c>
      <c r="N105" s="30" t="s">
        <v>245</v>
      </c>
      <c r="O105" s="30" t="s">
        <v>245</v>
      </c>
      <c r="P105" s="30" t="s">
        <v>245</v>
      </c>
      <c r="Q105" s="30" t="s">
        <v>1110</v>
      </c>
      <c r="R105" s="30" t="s">
        <v>1111</v>
      </c>
      <c r="S105" s="30" t="s">
        <v>1112</v>
      </c>
      <c r="T105" s="30" t="s">
        <v>245</v>
      </c>
      <c r="U105" s="30" t="s">
        <v>245</v>
      </c>
      <c r="V105" s="30" t="s">
        <v>245</v>
      </c>
      <c r="W105" s="30" t="s">
        <v>245</v>
      </c>
      <c r="X105" s="30" t="s">
        <v>245</v>
      </c>
      <c r="Y105" s="30" t="s">
        <v>245</v>
      </c>
      <c r="Z105" s="30" t="s">
        <v>245</v>
      </c>
      <c r="AA105" s="30" t="s">
        <v>245</v>
      </c>
      <c r="AB105" s="30" t="s">
        <v>245</v>
      </c>
      <c r="AC105" s="30" t="s">
        <v>245</v>
      </c>
      <c r="AD105" s="30" t="s">
        <v>245</v>
      </c>
      <c r="AE105" s="30" t="s">
        <v>245</v>
      </c>
      <c r="AF105" s="30" t="s">
        <v>245</v>
      </c>
      <c r="AG105" s="30" t="s">
        <v>245</v>
      </c>
      <c r="AH105" s="30" t="s">
        <v>245</v>
      </c>
      <c r="AI105" s="30" t="s">
        <v>245</v>
      </c>
      <c r="AJ105" s="30" t="s">
        <v>245</v>
      </c>
      <c r="AK105" s="30" t="s">
        <v>245</v>
      </c>
      <c r="AL105" s="30" t="s">
        <v>245</v>
      </c>
      <c r="AM105" s="30" t="s">
        <v>245</v>
      </c>
      <c r="AN105" s="30" t="s">
        <v>245</v>
      </c>
      <c r="AO105" s="30" t="s">
        <v>245</v>
      </c>
      <c r="AP105" s="30" t="s">
        <v>245</v>
      </c>
      <c r="AQ105" s="30" t="s">
        <v>352</v>
      </c>
      <c r="AR105" s="30" t="s">
        <v>353</v>
      </c>
      <c r="AS105" s="30" t="s">
        <v>245</v>
      </c>
      <c r="AT105" s="30" t="s">
        <v>245</v>
      </c>
      <c r="AU105" s="30" t="s">
        <v>245</v>
      </c>
      <c r="AV105" s="30" t="s">
        <v>286</v>
      </c>
      <c r="AW105" s="30">
        <v>2001</v>
      </c>
      <c r="AX105" s="30">
        <v>42</v>
      </c>
      <c r="AY105" s="30">
        <v>2</v>
      </c>
      <c r="AZ105" s="30" t="s">
        <v>245</v>
      </c>
      <c r="BA105" s="30" t="s">
        <v>245</v>
      </c>
      <c r="BB105" s="30" t="s">
        <v>298</v>
      </c>
      <c r="BC105" s="30" t="s">
        <v>245</v>
      </c>
      <c r="BD105" s="30">
        <v>113</v>
      </c>
      <c r="BE105" s="30">
        <v>121</v>
      </c>
      <c r="BF105" s="30" t="s">
        <v>245</v>
      </c>
      <c r="BG105" s="30" t="s">
        <v>1113</v>
      </c>
      <c r="BH105" s="30" t="str">
        <f>HYPERLINK("http://dx.doi.org/10.1016/S0045-6535(00)00116-8","http://dx.doi.org/10.1016/S0045-6535(00)00116-8")</f>
        <v>http://dx.doi.org/10.1016/S0045-6535(00)00116-8</v>
      </c>
      <c r="BI105" s="30" t="s">
        <v>245</v>
      </c>
      <c r="BJ105" s="30" t="s">
        <v>245</v>
      </c>
      <c r="BK105" s="30" t="s">
        <v>245</v>
      </c>
      <c r="BL105" s="30" t="s">
        <v>245</v>
      </c>
      <c r="BM105" s="30" t="s">
        <v>245</v>
      </c>
      <c r="BN105" s="30" t="s">
        <v>245</v>
      </c>
      <c r="BO105" s="30" t="s">
        <v>245</v>
      </c>
      <c r="BP105" s="30">
        <v>11237289</v>
      </c>
      <c r="BQ105" s="30" t="s">
        <v>245</v>
      </c>
      <c r="BR105" s="30" t="s">
        <v>245</v>
      </c>
      <c r="BS105" s="30" t="s">
        <v>245</v>
      </c>
      <c r="BT105" s="30" t="s">
        <v>245</v>
      </c>
      <c r="BU105" s="30" t="s">
        <v>1114</v>
      </c>
      <c r="BV105" s="30" t="str">
        <f>HYPERLINK("https%3A%2F%2Fwww.webofscience.com%2Fwos%2Fwoscc%2Ffull-record%2FWOS:000089930600003","View Full Record in Web of Science")</f>
        <v>View Full Record in Web of Science</v>
      </c>
    </row>
    <row r="106" spans="1:74" x14ac:dyDescent="0.2">
      <c r="A106" s="30" t="s">
        <v>243</v>
      </c>
      <c r="B106" s="30" t="s">
        <v>1115</v>
      </c>
      <c r="C106" s="30" t="s">
        <v>245</v>
      </c>
      <c r="D106" s="30" t="s">
        <v>245</v>
      </c>
      <c r="E106" s="30" t="s">
        <v>245</v>
      </c>
      <c r="F106" s="30" t="s">
        <v>1115</v>
      </c>
      <c r="G106" s="30" t="s">
        <v>245</v>
      </c>
      <c r="H106" s="30" t="s">
        <v>245</v>
      </c>
      <c r="I106" s="30" t="s">
        <v>2821</v>
      </c>
      <c r="K106" s="30" t="s">
        <v>1116</v>
      </c>
      <c r="L106" s="30" t="s">
        <v>336</v>
      </c>
      <c r="M106" s="30" t="s">
        <v>245</v>
      </c>
      <c r="N106" s="30" t="s">
        <v>245</v>
      </c>
      <c r="O106" s="30" t="s">
        <v>245</v>
      </c>
      <c r="P106" s="30" t="s">
        <v>245</v>
      </c>
      <c r="Q106" s="30" t="s">
        <v>245</v>
      </c>
      <c r="R106" s="30" t="s">
        <v>245</v>
      </c>
      <c r="S106" s="30" t="s">
        <v>245</v>
      </c>
      <c r="T106" s="30" t="s">
        <v>245</v>
      </c>
      <c r="U106" s="30" t="s">
        <v>245</v>
      </c>
      <c r="V106" s="30" t="s">
        <v>245</v>
      </c>
      <c r="W106" s="30" t="s">
        <v>245</v>
      </c>
      <c r="X106" s="30" t="s">
        <v>245</v>
      </c>
      <c r="Y106" s="30" t="s">
        <v>245</v>
      </c>
      <c r="Z106" s="30" t="s">
        <v>245</v>
      </c>
      <c r="AA106" s="30" t="s">
        <v>245</v>
      </c>
      <c r="AB106" s="30" t="s">
        <v>245</v>
      </c>
      <c r="AC106" s="30" t="s">
        <v>342</v>
      </c>
      <c r="AD106" s="30" t="s">
        <v>245</v>
      </c>
      <c r="AE106" s="30" t="s">
        <v>245</v>
      </c>
      <c r="AF106" s="30" t="s">
        <v>245</v>
      </c>
      <c r="AG106" s="30" t="s">
        <v>245</v>
      </c>
      <c r="AH106" s="30" t="s">
        <v>245</v>
      </c>
      <c r="AI106" s="30" t="s">
        <v>245</v>
      </c>
      <c r="AJ106" s="30" t="s">
        <v>245</v>
      </c>
      <c r="AK106" s="30" t="s">
        <v>245</v>
      </c>
      <c r="AL106" s="30" t="s">
        <v>245</v>
      </c>
      <c r="AM106" s="30" t="s">
        <v>245</v>
      </c>
      <c r="AN106" s="30" t="s">
        <v>245</v>
      </c>
      <c r="AO106" s="30" t="s">
        <v>245</v>
      </c>
      <c r="AP106" s="30" t="s">
        <v>245</v>
      </c>
      <c r="AQ106" s="30" t="s">
        <v>343</v>
      </c>
      <c r="AR106" s="30" t="s">
        <v>245</v>
      </c>
      <c r="AS106" s="30" t="s">
        <v>245</v>
      </c>
      <c r="AT106" s="30" t="s">
        <v>245</v>
      </c>
      <c r="AU106" s="30" t="s">
        <v>245</v>
      </c>
      <c r="AV106" s="30" t="s">
        <v>435</v>
      </c>
      <c r="AW106" s="30">
        <v>2000</v>
      </c>
      <c r="AX106" s="30">
        <v>57</v>
      </c>
      <c r="AY106" s="30">
        <v>1</v>
      </c>
      <c r="AZ106" s="30" t="s">
        <v>245</v>
      </c>
      <c r="BA106" s="30" t="s">
        <v>245</v>
      </c>
      <c r="BB106" s="30" t="s">
        <v>245</v>
      </c>
      <c r="BC106" s="30" t="s">
        <v>245</v>
      </c>
      <c r="BD106" s="30">
        <v>83</v>
      </c>
      <c r="BE106" s="30">
        <v>98</v>
      </c>
      <c r="BF106" s="30" t="s">
        <v>245</v>
      </c>
      <c r="BG106" s="30" t="s">
        <v>1117</v>
      </c>
      <c r="BH106" s="30" t="str">
        <f>HYPERLINK("http://dx.doi.org/10.1023/A:1009760220265","http://dx.doi.org/10.1023/A:1009760220265")</f>
        <v>http://dx.doi.org/10.1023/A:1009760220265</v>
      </c>
      <c r="BI106" s="30" t="s">
        <v>245</v>
      </c>
      <c r="BJ106" s="30" t="s">
        <v>245</v>
      </c>
      <c r="BK106" s="30" t="s">
        <v>245</v>
      </c>
      <c r="BL106" s="30" t="s">
        <v>245</v>
      </c>
      <c r="BM106" s="30" t="s">
        <v>245</v>
      </c>
      <c r="BN106" s="30" t="s">
        <v>245</v>
      </c>
      <c r="BO106" s="30" t="s">
        <v>245</v>
      </c>
      <c r="BP106" s="30" t="s">
        <v>245</v>
      </c>
      <c r="BQ106" s="30" t="s">
        <v>245</v>
      </c>
      <c r="BR106" s="30" t="s">
        <v>245</v>
      </c>
      <c r="BS106" s="30" t="s">
        <v>245</v>
      </c>
      <c r="BT106" s="30" t="s">
        <v>245</v>
      </c>
      <c r="BU106" s="30" t="s">
        <v>1118</v>
      </c>
      <c r="BV106" s="30" t="str">
        <f>HYPERLINK("https%3A%2F%2Fwww.webofscience.com%2Fwos%2Fwoscc%2Ffull-record%2FWOS:000087601400009","View Full Record in Web of Science")</f>
        <v>View Full Record in Web of Science</v>
      </c>
    </row>
    <row r="107" spans="1:74" x14ac:dyDescent="0.2">
      <c r="A107" s="30" t="s">
        <v>243</v>
      </c>
      <c r="B107" s="30" t="s">
        <v>1119</v>
      </c>
      <c r="C107" s="30" t="s">
        <v>245</v>
      </c>
      <c r="D107" s="30" t="s">
        <v>245</v>
      </c>
      <c r="E107" s="30" t="s">
        <v>245</v>
      </c>
      <c r="F107" s="30" t="s">
        <v>1120</v>
      </c>
      <c r="G107" s="30" t="s">
        <v>245</v>
      </c>
      <c r="H107" s="30" t="s">
        <v>245</v>
      </c>
      <c r="J107" s="30" t="s">
        <v>2832</v>
      </c>
      <c r="K107" s="30" t="s">
        <v>1121</v>
      </c>
      <c r="L107" s="30" t="s">
        <v>1122</v>
      </c>
      <c r="M107" s="30" t="s">
        <v>245</v>
      </c>
      <c r="N107" s="30" t="s">
        <v>245</v>
      </c>
      <c r="O107" s="30" t="s">
        <v>245</v>
      </c>
      <c r="P107" s="30" t="s">
        <v>245</v>
      </c>
      <c r="Q107" s="30" t="s">
        <v>245</v>
      </c>
      <c r="R107" s="30" t="s">
        <v>245</v>
      </c>
      <c r="S107" s="30" t="s">
        <v>245</v>
      </c>
      <c r="T107" s="30" t="s">
        <v>245</v>
      </c>
      <c r="U107" s="30" t="s">
        <v>245</v>
      </c>
      <c r="V107" s="30" t="s">
        <v>245</v>
      </c>
      <c r="W107" s="30" t="s">
        <v>245</v>
      </c>
      <c r="X107" s="30" t="s">
        <v>245</v>
      </c>
      <c r="Y107" s="30" t="s">
        <v>245</v>
      </c>
      <c r="Z107" s="30" t="s">
        <v>245</v>
      </c>
      <c r="AA107" s="30" t="s">
        <v>245</v>
      </c>
      <c r="AB107" s="30" t="s">
        <v>245</v>
      </c>
      <c r="AC107" s="30" t="s">
        <v>1123</v>
      </c>
      <c r="AD107" s="30" t="s">
        <v>1124</v>
      </c>
      <c r="AE107" s="30" t="s">
        <v>245</v>
      </c>
      <c r="AF107" s="30" t="s">
        <v>245</v>
      </c>
      <c r="AG107" s="30" t="s">
        <v>245</v>
      </c>
      <c r="AH107" s="30" t="s">
        <v>245</v>
      </c>
      <c r="AI107" s="30" t="s">
        <v>245</v>
      </c>
      <c r="AJ107" s="30" t="s">
        <v>245</v>
      </c>
      <c r="AK107" s="30" t="s">
        <v>245</v>
      </c>
      <c r="AL107" s="30" t="s">
        <v>245</v>
      </c>
      <c r="AM107" s="30" t="s">
        <v>245</v>
      </c>
      <c r="AN107" s="30" t="s">
        <v>245</v>
      </c>
      <c r="AO107" s="30" t="s">
        <v>245</v>
      </c>
      <c r="AP107" s="30" t="s">
        <v>245</v>
      </c>
      <c r="AQ107" s="30" t="s">
        <v>245</v>
      </c>
      <c r="AR107" s="30" t="s">
        <v>1125</v>
      </c>
      <c r="AS107" s="30" t="s">
        <v>245</v>
      </c>
      <c r="AT107" s="30" t="s">
        <v>245</v>
      </c>
      <c r="AU107" s="30" t="s">
        <v>245</v>
      </c>
      <c r="AV107" s="30" t="s">
        <v>297</v>
      </c>
      <c r="AW107" s="30">
        <v>2020</v>
      </c>
      <c r="AX107" s="30">
        <v>10</v>
      </c>
      <c r="AY107" s="30">
        <v>10</v>
      </c>
      <c r="AZ107" s="30" t="s">
        <v>245</v>
      </c>
      <c r="BA107" s="30" t="s">
        <v>245</v>
      </c>
      <c r="BB107" s="30" t="s">
        <v>245</v>
      </c>
      <c r="BC107" s="30" t="s">
        <v>245</v>
      </c>
      <c r="BD107" s="30" t="s">
        <v>245</v>
      </c>
      <c r="BE107" s="30" t="s">
        <v>245</v>
      </c>
      <c r="BF107" s="30">
        <v>1498</v>
      </c>
      <c r="BG107" s="30" t="s">
        <v>1126</v>
      </c>
      <c r="BH107" s="30" t="str">
        <f>HYPERLINK("http://dx.doi.org/10.3390/agronomy10101498","http://dx.doi.org/10.3390/agronomy10101498")</f>
        <v>http://dx.doi.org/10.3390/agronomy10101498</v>
      </c>
      <c r="BI107" s="30" t="s">
        <v>245</v>
      </c>
      <c r="BJ107" s="30" t="s">
        <v>245</v>
      </c>
      <c r="BK107" s="30" t="s">
        <v>245</v>
      </c>
      <c r="BL107" s="30" t="s">
        <v>245</v>
      </c>
      <c r="BM107" s="30" t="s">
        <v>245</v>
      </c>
      <c r="BN107" s="30" t="s">
        <v>245</v>
      </c>
      <c r="BO107" s="30" t="s">
        <v>245</v>
      </c>
      <c r="BP107" s="30" t="s">
        <v>245</v>
      </c>
      <c r="BQ107" s="30" t="s">
        <v>245</v>
      </c>
      <c r="BR107" s="30" t="s">
        <v>245</v>
      </c>
      <c r="BS107" s="30" t="s">
        <v>245</v>
      </c>
      <c r="BT107" s="30" t="s">
        <v>245</v>
      </c>
      <c r="BU107" s="30" t="s">
        <v>1127</v>
      </c>
      <c r="BV107" s="30" t="str">
        <f>HYPERLINK("https%3A%2F%2Fwww.webofscience.com%2Fwos%2Fwoscc%2Ffull-record%2FWOS:000584186900001","View Full Record in Web of Science")</f>
        <v>View Full Record in Web of Science</v>
      </c>
    </row>
    <row r="108" spans="1:74" x14ac:dyDescent="0.2">
      <c r="A108" s="30" t="s">
        <v>243</v>
      </c>
      <c r="B108" s="30" t="s">
        <v>1128</v>
      </c>
      <c r="C108" s="30" t="s">
        <v>245</v>
      </c>
      <c r="D108" s="30" t="s">
        <v>245</v>
      </c>
      <c r="E108" s="30" t="s">
        <v>245</v>
      </c>
      <c r="F108" s="30" t="s">
        <v>1128</v>
      </c>
      <c r="G108" s="30" t="s">
        <v>245</v>
      </c>
      <c r="H108" s="30" t="s">
        <v>245</v>
      </c>
      <c r="J108" s="30" t="s">
        <v>2833</v>
      </c>
      <c r="K108" s="30" t="s">
        <v>1129</v>
      </c>
      <c r="L108" s="30" t="s">
        <v>260</v>
      </c>
      <c r="M108" s="30" t="s">
        <v>245</v>
      </c>
      <c r="N108" s="30" t="s">
        <v>245</v>
      </c>
      <c r="O108" s="30" t="s">
        <v>245</v>
      </c>
      <c r="P108" s="30" t="s">
        <v>245</v>
      </c>
      <c r="Q108" s="30" t="s">
        <v>245</v>
      </c>
      <c r="R108" s="30" t="s">
        <v>245</v>
      </c>
      <c r="S108" s="30" t="s">
        <v>245</v>
      </c>
      <c r="T108" s="30" t="s">
        <v>245</v>
      </c>
      <c r="U108" s="30" t="s">
        <v>245</v>
      </c>
      <c r="V108" s="30" t="s">
        <v>245</v>
      </c>
      <c r="W108" s="30" t="s">
        <v>245</v>
      </c>
      <c r="X108" s="30" t="s">
        <v>245</v>
      </c>
      <c r="Y108" s="30" t="s">
        <v>245</v>
      </c>
      <c r="Z108" s="30" t="s">
        <v>245</v>
      </c>
      <c r="AA108" s="30" t="s">
        <v>245</v>
      </c>
      <c r="AB108" s="30" t="s">
        <v>245</v>
      </c>
      <c r="AC108" s="30" t="s">
        <v>1130</v>
      </c>
      <c r="AD108" s="30" t="s">
        <v>1131</v>
      </c>
      <c r="AE108" s="30" t="s">
        <v>245</v>
      </c>
      <c r="AF108" s="30" t="s">
        <v>245</v>
      </c>
      <c r="AG108" s="30" t="s">
        <v>245</v>
      </c>
      <c r="AH108" s="30" t="s">
        <v>245</v>
      </c>
      <c r="AI108" s="30" t="s">
        <v>245</v>
      </c>
      <c r="AJ108" s="30" t="s">
        <v>245</v>
      </c>
      <c r="AK108" s="30" t="s">
        <v>245</v>
      </c>
      <c r="AL108" s="30" t="s">
        <v>245</v>
      </c>
      <c r="AM108" s="30" t="s">
        <v>245</v>
      </c>
      <c r="AN108" s="30" t="s">
        <v>245</v>
      </c>
      <c r="AO108" s="30" t="s">
        <v>245</v>
      </c>
      <c r="AP108" s="30" t="s">
        <v>245</v>
      </c>
      <c r="AQ108" s="30" t="s">
        <v>263</v>
      </c>
      <c r="AR108" s="30" t="s">
        <v>245</v>
      </c>
      <c r="AS108" s="30" t="s">
        <v>245</v>
      </c>
      <c r="AT108" s="30" t="s">
        <v>245</v>
      </c>
      <c r="AU108" s="30" t="s">
        <v>245</v>
      </c>
      <c r="AV108" s="30" t="s">
        <v>487</v>
      </c>
      <c r="AW108" s="30">
        <v>1998</v>
      </c>
      <c r="AX108" s="30">
        <v>31</v>
      </c>
      <c r="AY108" s="30">
        <v>3</v>
      </c>
      <c r="AZ108" s="30" t="s">
        <v>245</v>
      </c>
      <c r="BA108" s="30" t="s">
        <v>245</v>
      </c>
      <c r="BB108" s="30" t="s">
        <v>245</v>
      </c>
      <c r="BC108" s="30" t="s">
        <v>245</v>
      </c>
      <c r="BD108" s="30">
        <v>288</v>
      </c>
      <c r="BE108" s="30">
        <v>292</v>
      </c>
      <c r="BF108" s="30" t="s">
        <v>245</v>
      </c>
      <c r="BG108" s="30" t="s">
        <v>245</v>
      </c>
      <c r="BH108" s="30" t="s">
        <v>245</v>
      </c>
      <c r="BI108" s="30" t="s">
        <v>245</v>
      </c>
      <c r="BJ108" s="30" t="s">
        <v>245</v>
      </c>
      <c r="BK108" s="30" t="s">
        <v>245</v>
      </c>
      <c r="BL108" s="30" t="s">
        <v>245</v>
      </c>
      <c r="BM108" s="30" t="s">
        <v>245</v>
      </c>
      <c r="BN108" s="30" t="s">
        <v>245</v>
      </c>
      <c r="BO108" s="30" t="s">
        <v>245</v>
      </c>
      <c r="BP108" s="30" t="s">
        <v>245</v>
      </c>
      <c r="BQ108" s="30" t="s">
        <v>245</v>
      </c>
      <c r="BR108" s="30" t="s">
        <v>245</v>
      </c>
      <c r="BS108" s="30" t="s">
        <v>245</v>
      </c>
      <c r="BT108" s="30" t="s">
        <v>245</v>
      </c>
      <c r="BU108" s="30" t="s">
        <v>1132</v>
      </c>
      <c r="BV108" s="30" t="str">
        <f>HYPERLINK("https%3A%2F%2Fwww.webofscience.com%2Fwos%2Fwoscc%2Ffull-record%2FWOS:000072675900007","View Full Record in Web of Science")</f>
        <v>View Full Record in Web of Science</v>
      </c>
    </row>
    <row r="109" spans="1:74" x14ac:dyDescent="0.2">
      <c r="A109" s="30" t="s">
        <v>243</v>
      </c>
      <c r="B109" s="30" t="s">
        <v>1133</v>
      </c>
      <c r="C109" s="30" t="s">
        <v>245</v>
      </c>
      <c r="D109" s="30" t="s">
        <v>245</v>
      </c>
      <c r="E109" s="30" t="s">
        <v>245</v>
      </c>
      <c r="F109" s="30" t="s">
        <v>1134</v>
      </c>
      <c r="G109" s="30" t="s">
        <v>245</v>
      </c>
      <c r="H109" s="30" t="s">
        <v>245</v>
      </c>
      <c r="I109" s="30" t="s">
        <v>2822</v>
      </c>
      <c r="K109" s="30" t="s">
        <v>1135</v>
      </c>
      <c r="L109" s="30" t="s">
        <v>304</v>
      </c>
      <c r="M109" s="30" t="s">
        <v>245</v>
      </c>
      <c r="N109" s="30" t="s">
        <v>245</v>
      </c>
      <c r="O109" s="30" t="s">
        <v>245</v>
      </c>
      <c r="P109" s="30" t="s">
        <v>245</v>
      </c>
      <c r="Q109" s="30" t="s">
        <v>245</v>
      </c>
      <c r="R109" s="30" t="s">
        <v>245</v>
      </c>
      <c r="S109" s="30" t="s">
        <v>245</v>
      </c>
      <c r="T109" s="30" t="s">
        <v>245</v>
      </c>
      <c r="U109" s="30" t="s">
        <v>245</v>
      </c>
      <c r="V109" s="30" t="s">
        <v>245</v>
      </c>
      <c r="W109" s="30" t="s">
        <v>245</v>
      </c>
      <c r="X109" s="30" t="s">
        <v>245</v>
      </c>
      <c r="Y109" s="30" t="s">
        <v>245</v>
      </c>
      <c r="Z109" s="30" t="s">
        <v>245</v>
      </c>
      <c r="AA109" s="30" t="s">
        <v>245</v>
      </c>
      <c r="AB109" s="30" t="s">
        <v>245</v>
      </c>
      <c r="AC109" s="30" t="s">
        <v>245</v>
      </c>
      <c r="AD109" s="30" t="s">
        <v>245</v>
      </c>
      <c r="AE109" s="30" t="s">
        <v>245</v>
      </c>
      <c r="AF109" s="30" t="s">
        <v>245</v>
      </c>
      <c r="AG109" s="30" t="s">
        <v>245</v>
      </c>
      <c r="AH109" s="30" t="s">
        <v>245</v>
      </c>
      <c r="AI109" s="30" t="s">
        <v>245</v>
      </c>
      <c r="AJ109" s="30" t="s">
        <v>245</v>
      </c>
      <c r="AK109" s="30" t="s">
        <v>245</v>
      </c>
      <c r="AL109" s="30" t="s">
        <v>245</v>
      </c>
      <c r="AM109" s="30" t="s">
        <v>245</v>
      </c>
      <c r="AN109" s="30" t="s">
        <v>245</v>
      </c>
      <c r="AO109" s="30" t="s">
        <v>245</v>
      </c>
      <c r="AP109" s="30" t="s">
        <v>245</v>
      </c>
      <c r="AQ109" s="30" t="s">
        <v>307</v>
      </c>
      <c r="AR109" s="30" t="s">
        <v>308</v>
      </c>
      <c r="AS109" s="30" t="s">
        <v>245</v>
      </c>
      <c r="AT109" s="30" t="s">
        <v>245</v>
      </c>
      <c r="AU109" s="30" t="s">
        <v>245</v>
      </c>
      <c r="AV109" s="30" t="s">
        <v>1136</v>
      </c>
      <c r="AW109" s="30">
        <v>2015</v>
      </c>
      <c r="AX109" s="30">
        <v>61</v>
      </c>
      <c r="AY109" s="30">
        <v>2</v>
      </c>
      <c r="AZ109" s="30" t="s">
        <v>245</v>
      </c>
      <c r="BA109" s="30" t="s">
        <v>245</v>
      </c>
      <c r="BB109" s="30" t="s">
        <v>245</v>
      </c>
      <c r="BC109" s="30" t="s">
        <v>245</v>
      </c>
      <c r="BD109" s="30">
        <v>347</v>
      </c>
      <c r="BE109" s="30">
        <v>358</v>
      </c>
      <c r="BF109" s="30" t="s">
        <v>245</v>
      </c>
      <c r="BG109" s="30" t="s">
        <v>1137</v>
      </c>
      <c r="BH109" s="30" t="str">
        <f>HYPERLINK("http://dx.doi.org/10.1080/00380768.2014.981676","http://dx.doi.org/10.1080/00380768.2014.981676")</f>
        <v>http://dx.doi.org/10.1080/00380768.2014.981676</v>
      </c>
      <c r="BI109" s="30" t="s">
        <v>245</v>
      </c>
      <c r="BJ109" s="30" t="s">
        <v>245</v>
      </c>
      <c r="BK109" s="30" t="s">
        <v>245</v>
      </c>
      <c r="BL109" s="30" t="s">
        <v>245</v>
      </c>
      <c r="BM109" s="30" t="s">
        <v>245</v>
      </c>
      <c r="BN109" s="30" t="s">
        <v>245</v>
      </c>
      <c r="BO109" s="30" t="s">
        <v>245</v>
      </c>
      <c r="BP109" s="30" t="s">
        <v>245</v>
      </c>
      <c r="BQ109" s="30" t="s">
        <v>245</v>
      </c>
      <c r="BR109" s="30" t="s">
        <v>245</v>
      </c>
      <c r="BS109" s="30" t="s">
        <v>245</v>
      </c>
      <c r="BT109" s="30" t="s">
        <v>245</v>
      </c>
      <c r="BU109" s="30" t="s">
        <v>1138</v>
      </c>
      <c r="BV109" s="30" t="str">
        <f>HYPERLINK("https%3A%2F%2Fwww.webofscience.com%2Fwos%2Fwoscc%2Ffull-record%2FWOS:000353474500021","View Full Record in Web of Science")</f>
        <v>View Full Record in Web of Science</v>
      </c>
    </row>
    <row r="110" spans="1:74" x14ac:dyDescent="0.2">
      <c r="A110" s="30" t="s">
        <v>243</v>
      </c>
      <c r="B110" s="30" t="s">
        <v>1139</v>
      </c>
      <c r="C110" s="30" t="s">
        <v>245</v>
      </c>
      <c r="D110" s="30" t="s">
        <v>245</v>
      </c>
      <c r="E110" s="30" t="s">
        <v>245</v>
      </c>
      <c r="F110" s="30" t="s">
        <v>1140</v>
      </c>
      <c r="G110" s="30" t="s">
        <v>245</v>
      </c>
      <c r="H110" s="30" t="s">
        <v>245</v>
      </c>
      <c r="K110" s="30" t="s">
        <v>1141</v>
      </c>
      <c r="L110" s="30" t="s">
        <v>1142</v>
      </c>
      <c r="M110" s="30" t="s">
        <v>245</v>
      </c>
      <c r="N110" s="30" t="s">
        <v>245</v>
      </c>
      <c r="O110" s="30" t="s">
        <v>245</v>
      </c>
      <c r="P110" s="30" t="s">
        <v>245</v>
      </c>
      <c r="Q110" s="30" t="s">
        <v>245</v>
      </c>
      <c r="R110" s="30" t="s">
        <v>245</v>
      </c>
      <c r="S110" s="30" t="s">
        <v>245</v>
      </c>
      <c r="T110" s="30" t="s">
        <v>245</v>
      </c>
      <c r="U110" s="30" t="s">
        <v>245</v>
      </c>
      <c r="V110" s="30" t="s">
        <v>245</v>
      </c>
      <c r="W110" s="30" t="s">
        <v>245</v>
      </c>
      <c r="X110" s="30" t="s">
        <v>245</v>
      </c>
      <c r="Y110" s="30" t="s">
        <v>245</v>
      </c>
      <c r="Z110" s="30" t="s">
        <v>245</v>
      </c>
      <c r="AA110" s="30" t="s">
        <v>245</v>
      </c>
      <c r="AB110" s="30" t="s">
        <v>245</v>
      </c>
      <c r="AC110" s="30" t="s">
        <v>1143</v>
      </c>
      <c r="AD110" s="30" t="s">
        <v>1144</v>
      </c>
      <c r="AE110" s="30" t="s">
        <v>245</v>
      </c>
      <c r="AF110" s="30" t="s">
        <v>245</v>
      </c>
      <c r="AG110" s="30" t="s">
        <v>245</v>
      </c>
      <c r="AH110" s="30" t="s">
        <v>245</v>
      </c>
      <c r="AI110" s="30" t="s">
        <v>245</v>
      </c>
      <c r="AJ110" s="30" t="s">
        <v>245</v>
      </c>
      <c r="AK110" s="30" t="s">
        <v>245</v>
      </c>
      <c r="AL110" s="30" t="s">
        <v>245</v>
      </c>
      <c r="AM110" s="30" t="s">
        <v>245</v>
      </c>
      <c r="AN110" s="30" t="s">
        <v>245</v>
      </c>
      <c r="AO110" s="30" t="s">
        <v>245</v>
      </c>
      <c r="AP110" s="30" t="s">
        <v>245</v>
      </c>
      <c r="AQ110" s="30" t="s">
        <v>1145</v>
      </c>
      <c r="AR110" s="30" t="s">
        <v>245</v>
      </c>
      <c r="AS110" s="30" t="s">
        <v>245</v>
      </c>
      <c r="AT110" s="30" t="s">
        <v>245</v>
      </c>
      <c r="AU110" s="30" t="s">
        <v>245</v>
      </c>
      <c r="AV110" s="30" t="s">
        <v>1033</v>
      </c>
      <c r="AW110" s="30">
        <v>2010</v>
      </c>
      <c r="AX110" s="30">
        <v>34</v>
      </c>
      <c r="AY110" s="30">
        <v>5</v>
      </c>
      <c r="AZ110" s="30" t="s">
        <v>245</v>
      </c>
      <c r="BA110" s="30" t="s">
        <v>245</v>
      </c>
      <c r="BB110" s="30" t="s">
        <v>245</v>
      </c>
      <c r="BC110" s="30" t="s">
        <v>245</v>
      </c>
      <c r="BD110" s="30">
        <v>1653</v>
      </c>
      <c r="BE110" s="30">
        <v>1665</v>
      </c>
      <c r="BF110" s="30" t="s">
        <v>245</v>
      </c>
      <c r="BG110" s="30" t="s">
        <v>1146</v>
      </c>
      <c r="BH110" s="30" t="str">
        <f>HYPERLINK("http://dx.doi.org/10.1590/S0100-06832010000500018","http://dx.doi.org/10.1590/S0100-06832010000500018")</f>
        <v>http://dx.doi.org/10.1590/S0100-06832010000500018</v>
      </c>
      <c r="BI110" s="30" t="s">
        <v>245</v>
      </c>
      <c r="BJ110" s="30" t="s">
        <v>245</v>
      </c>
      <c r="BK110" s="30" t="s">
        <v>245</v>
      </c>
      <c r="BL110" s="30" t="s">
        <v>245</v>
      </c>
      <c r="BM110" s="30" t="s">
        <v>245</v>
      </c>
      <c r="BN110" s="30" t="s">
        <v>245</v>
      </c>
      <c r="BO110" s="30" t="s">
        <v>245</v>
      </c>
      <c r="BP110" s="30" t="s">
        <v>245</v>
      </c>
      <c r="BQ110" s="30" t="s">
        <v>245</v>
      </c>
      <c r="BR110" s="30" t="s">
        <v>245</v>
      </c>
      <c r="BS110" s="30" t="s">
        <v>245</v>
      </c>
      <c r="BT110" s="30" t="s">
        <v>245</v>
      </c>
      <c r="BU110" s="30" t="s">
        <v>1147</v>
      </c>
      <c r="BV110" s="30" t="str">
        <f>HYPERLINK("https%3A%2F%2Fwww.webofscience.com%2Fwos%2Fwoscc%2Ffull-record%2FWOS:000285507000018","View Full Record in Web of Science")</f>
        <v>View Full Record in Web of Science</v>
      </c>
    </row>
    <row r="111" spans="1:74" x14ac:dyDescent="0.2">
      <c r="A111" s="30" t="s">
        <v>243</v>
      </c>
      <c r="B111" s="30" t="s">
        <v>1148</v>
      </c>
      <c r="C111" s="30" t="s">
        <v>245</v>
      </c>
      <c r="D111" s="30" t="s">
        <v>245</v>
      </c>
      <c r="E111" s="30" t="s">
        <v>245</v>
      </c>
      <c r="F111" s="30" t="s">
        <v>1149</v>
      </c>
      <c r="G111" s="30" t="s">
        <v>245</v>
      </c>
      <c r="H111" s="30" t="s">
        <v>245</v>
      </c>
      <c r="J111" s="30" t="s">
        <v>2833</v>
      </c>
      <c r="K111" s="30" t="s">
        <v>1150</v>
      </c>
      <c r="L111" s="30" t="s">
        <v>1151</v>
      </c>
      <c r="M111" s="30" t="s">
        <v>245</v>
      </c>
      <c r="N111" s="30" t="s">
        <v>245</v>
      </c>
      <c r="O111" s="30" t="s">
        <v>245</v>
      </c>
      <c r="P111" s="30" t="s">
        <v>245</v>
      </c>
      <c r="Q111" s="30" t="s">
        <v>245</v>
      </c>
      <c r="R111" s="30" t="s">
        <v>245</v>
      </c>
      <c r="S111" s="30" t="s">
        <v>245</v>
      </c>
      <c r="T111" s="30" t="s">
        <v>245</v>
      </c>
      <c r="U111" s="30" t="s">
        <v>245</v>
      </c>
      <c r="V111" s="30" t="s">
        <v>245</v>
      </c>
      <c r="W111" s="30" t="s">
        <v>245</v>
      </c>
      <c r="X111" s="30" t="s">
        <v>245</v>
      </c>
      <c r="Y111" s="30" t="s">
        <v>245</v>
      </c>
      <c r="Z111" s="30" t="s">
        <v>245</v>
      </c>
      <c r="AA111" s="30" t="s">
        <v>245</v>
      </c>
      <c r="AB111" s="30" t="s">
        <v>245</v>
      </c>
      <c r="AC111" s="30" t="s">
        <v>1152</v>
      </c>
      <c r="AD111" s="30" t="s">
        <v>1153</v>
      </c>
      <c r="AE111" s="30" t="s">
        <v>245</v>
      </c>
      <c r="AF111" s="30" t="s">
        <v>245</v>
      </c>
      <c r="AG111" s="30" t="s">
        <v>245</v>
      </c>
      <c r="AH111" s="30" t="s">
        <v>245</v>
      </c>
      <c r="AI111" s="30" t="s">
        <v>245</v>
      </c>
      <c r="AJ111" s="30" t="s">
        <v>245</v>
      </c>
      <c r="AK111" s="30" t="s">
        <v>245</v>
      </c>
      <c r="AL111" s="30" t="s">
        <v>245</v>
      </c>
      <c r="AM111" s="30" t="s">
        <v>245</v>
      </c>
      <c r="AN111" s="30" t="s">
        <v>245</v>
      </c>
      <c r="AO111" s="30" t="s">
        <v>245</v>
      </c>
      <c r="AP111" s="30" t="s">
        <v>245</v>
      </c>
      <c r="AQ111" s="30" t="s">
        <v>1154</v>
      </c>
      <c r="AR111" s="30" t="s">
        <v>245</v>
      </c>
      <c r="AS111" s="30" t="s">
        <v>245</v>
      </c>
      <c r="AT111" s="30" t="s">
        <v>245</v>
      </c>
      <c r="AU111" s="30" t="s">
        <v>245</v>
      </c>
      <c r="AV111" s="30" t="s">
        <v>1155</v>
      </c>
      <c r="AW111" s="30">
        <v>2018</v>
      </c>
      <c r="AX111" s="30">
        <v>9</v>
      </c>
      <c r="AY111" s="30" t="s">
        <v>245</v>
      </c>
      <c r="AZ111" s="30" t="s">
        <v>245</v>
      </c>
      <c r="BA111" s="30" t="s">
        <v>245</v>
      </c>
      <c r="BB111" s="30" t="s">
        <v>245</v>
      </c>
      <c r="BC111" s="30" t="s">
        <v>245</v>
      </c>
      <c r="BD111" s="30" t="s">
        <v>245</v>
      </c>
      <c r="BE111" s="30" t="s">
        <v>245</v>
      </c>
      <c r="BF111" s="30">
        <v>1137</v>
      </c>
      <c r="BG111" s="30" t="s">
        <v>1156</v>
      </c>
      <c r="BH111" s="30" t="str">
        <f>HYPERLINK("http://dx.doi.org/10.3389/fmicb.2018.01137","http://dx.doi.org/10.3389/fmicb.2018.01137")</f>
        <v>http://dx.doi.org/10.3389/fmicb.2018.01137</v>
      </c>
      <c r="BI111" s="30" t="s">
        <v>245</v>
      </c>
      <c r="BJ111" s="30" t="s">
        <v>245</v>
      </c>
      <c r="BK111" s="30" t="s">
        <v>245</v>
      </c>
      <c r="BL111" s="30" t="s">
        <v>245</v>
      </c>
      <c r="BM111" s="30" t="s">
        <v>245</v>
      </c>
      <c r="BN111" s="30" t="s">
        <v>245</v>
      </c>
      <c r="BO111" s="30" t="s">
        <v>245</v>
      </c>
      <c r="BP111" s="30">
        <v>29896187</v>
      </c>
      <c r="BQ111" s="30" t="s">
        <v>245</v>
      </c>
      <c r="BR111" s="30" t="s">
        <v>245</v>
      </c>
      <c r="BS111" s="30" t="s">
        <v>245</v>
      </c>
      <c r="BT111" s="30" t="s">
        <v>245</v>
      </c>
      <c r="BU111" s="30" t="s">
        <v>1157</v>
      </c>
      <c r="BV111" s="30" t="str">
        <f>HYPERLINK("https%3A%2F%2Fwww.webofscience.com%2Fwos%2Fwoscc%2Ffull-record%2FWOS:000433327500001","View Full Record in Web of Science")</f>
        <v>View Full Record in Web of Science</v>
      </c>
    </row>
    <row r="112" spans="1:74" x14ac:dyDescent="0.2">
      <c r="A112" s="30" t="s">
        <v>243</v>
      </c>
      <c r="B112" s="30" t="s">
        <v>1158</v>
      </c>
      <c r="C112" s="30" t="s">
        <v>245</v>
      </c>
      <c r="D112" s="30" t="s">
        <v>245</v>
      </c>
      <c r="E112" s="30" t="s">
        <v>245</v>
      </c>
      <c r="F112" s="30" t="s">
        <v>1159</v>
      </c>
      <c r="G112" s="30" t="s">
        <v>245</v>
      </c>
      <c r="H112" s="30" t="s">
        <v>245</v>
      </c>
      <c r="J112" s="30" t="s">
        <v>2825</v>
      </c>
      <c r="K112" s="30" t="s">
        <v>1160</v>
      </c>
      <c r="L112" s="30" t="s">
        <v>541</v>
      </c>
      <c r="M112" s="30" t="s">
        <v>245</v>
      </c>
      <c r="N112" s="30" t="s">
        <v>245</v>
      </c>
      <c r="O112" s="30" t="s">
        <v>245</v>
      </c>
      <c r="P112" s="30" t="s">
        <v>245</v>
      </c>
      <c r="Q112" s="30" t="s">
        <v>245</v>
      </c>
      <c r="R112" s="30" t="s">
        <v>245</v>
      </c>
      <c r="S112" s="30" t="s">
        <v>245</v>
      </c>
      <c r="T112" s="30" t="s">
        <v>245</v>
      </c>
      <c r="U112" s="30" t="s">
        <v>245</v>
      </c>
      <c r="V112" s="30" t="s">
        <v>245</v>
      </c>
      <c r="W112" s="30" t="s">
        <v>245</v>
      </c>
      <c r="X112" s="30" t="s">
        <v>245</v>
      </c>
      <c r="Y112" s="30" t="s">
        <v>245</v>
      </c>
      <c r="Z112" s="30" t="s">
        <v>245</v>
      </c>
      <c r="AA112" s="30" t="s">
        <v>245</v>
      </c>
      <c r="AB112" s="30" t="s">
        <v>245</v>
      </c>
      <c r="AC112" s="30" t="s">
        <v>1161</v>
      </c>
      <c r="AD112" s="30" t="s">
        <v>1162</v>
      </c>
      <c r="AE112" s="30" t="s">
        <v>245</v>
      </c>
      <c r="AF112" s="30" t="s">
        <v>245</v>
      </c>
      <c r="AG112" s="30" t="s">
        <v>245</v>
      </c>
      <c r="AH112" s="30" t="s">
        <v>245</v>
      </c>
      <c r="AI112" s="30" t="s">
        <v>245</v>
      </c>
      <c r="AJ112" s="30" t="s">
        <v>245</v>
      </c>
      <c r="AK112" s="30" t="s">
        <v>245</v>
      </c>
      <c r="AL112" s="30" t="s">
        <v>245</v>
      </c>
      <c r="AM112" s="30" t="s">
        <v>245</v>
      </c>
      <c r="AN112" s="30" t="s">
        <v>245</v>
      </c>
      <c r="AO112" s="30" t="s">
        <v>245</v>
      </c>
      <c r="AP112" s="30" t="s">
        <v>245</v>
      </c>
      <c r="AQ112" s="30" t="s">
        <v>544</v>
      </c>
      <c r="AR112" s="30" t="s">
        <v>545</v>
      </c>
      <c r="AS112" s="30" t="s">
        <v>245</v>
      </c>
      <c r="AT112" s="30" t="s">
        <v>245</v>
      </c>
      <c r="AU112" s="30" t="s">
        <v>245</v>
      </c>
      <c r="AV112" s="30" t="s">
        <v>662</v>
      </c>
      <c r="AW112" s="30">
        <v>2017</v>
      </c>
      <c r="AX112" s="30">
        <v>239</v>
      </c>
      <c r="AY112" s="30" t="s">
        <v>245</v>
      </c>
      <c r="AZ112" s="30" t="s">
        <v>245</v>
      </c>
      <c r="BA112" s="30" t="s">
        <v>245</v>
      </c>
      <c r="BB112" s="30" t="s">
        <v>245</v>
      </c>
      <c r="BC112" s="30" t="s">
        <v>245</v>
      </c>
      <c r="BD112" s="30">
        <v>188</v>
      </c>
      <c r="BE112" s="30">
        <v>198</v>
      </c>
      <c r="BF112" s="30" t="s">
        <v>245</v>
      </c>
      <c r="BG112" s="30" t="s">
        <v>1163</v>
      </c>
      <c r="BH112" s="30" t="str">
        <f>HYPERLINK("http://dx.doi.org/10.1016/j.agee.2017.01.012","http://dx.doi.org/10.1016/j.agee.2017.01.012")</f>
        <v>http://dx.doi.org/10.1016/j.agee.2017.01.012</v>
      </c>
      <c r="BI112" s="30" t="s">
        <v>245</v>
      </c>
      <c r="BJ112" s="30" t="s">
        <v>245</v>
      </c>
      <c r="BK112" s="30" t="s">
        <v>245</v>
      </c>
      <c r="BL112" s="30" t="s">
        <v>245</v>
      </c>
      <c r="BM112" s="30" t="s">
        <v>245</v>
      </c>
      <c r="BN112" s="30" t="s">
        <v>245</v>
      </c>
      <c r="BO112" s="30" t="s">
        <v>245</v>
      </c>
      <c r="BP112" s="30" t="s">
        <v>245</v>
      </c>
      <c r="BQ112" s="30" t="s">
        <v>245</v>
      </c>
      <c r="BR112" s="30" t="s">
        <v>245</v>
      </c>
      <c r="BS112" s="30" t="s">
        <v>245</v>
      </c>
      <c r="BT112" s="30" t="s">
        <v>245</v>
      </c>
      <c r="BU112" s="30" t="s">
        <v>1164</v>
      </c>
      <c r="BV112" s="30" t="str">
        <f>HYPERLINK("https%3A%2F%2Fwww.webofscience.com%2Fwos%2Fwoscc%2Ffull-record%2FWOS:000397550100019","View Full Record in Web of Science")</f>
        <v>View Full Record in Web of Science</v>
      </c>
    </row>
    <row r="113" spans="1:74" x14ac:dyDescent="0.2">
      <c r="A113" s="30" t="s">
        <v>243</v>
      </c>
      <c r="B113" s="30" t="s">
        <v>1165</v>
      </c>
      <c r="C113" s="30" t="s">
        <v>245</v>
      </c>
      <c r="D113" s="30" t="s">
        <v>245</v>
      </c>
      <c r="E113" s="30" t="s">
        <v>245</v>
      </c>
      <c r="F113" s="30" t="s">
        <v>1166</v>
      </c>
      <c r="G113" s="30" t="s">
        <v>245</v>
      </c>
      <c r="H113" s="30" t="s">
        <v>245</v>
      </c>
      <c r="I113" s="30" t="s">
        <v>2819</v>
      </c>
      <c r="K113" s="30" t="s">
        <v>1167</v>
      </c>
      <c r="L113" s="30" t="s">
        <v>282</v>
      </c>
      <c r="M113" s="30" t="s">
        <v>245</v>
      </c>
      <c r="N113" s="30" t="s">
        <v>245</v>
      </c>
      <c r="O113" s="30" t="s">
        <v>245</v>
      </c>
      <c r="P113" s="30" t="s">
        <v>245</v>
      </c>
      <c r="Q113" s="30" t="s">
        <v>245</v>
      </c>
      <c r="R113" s="30" t="s">
        <v>245</v>
      </c>
      <c r="S113" s="30" t="s">
        <v>245</v>
      </c>
      <c r="T113" s="30" t="s">
        <v>245</v>
      </c>
      <c r="U113" s="30" t="s">
        <v>245</v>
      </c>
      <c r="V113" s="30" t="s">
        <v>245</v>
      </c>
      <c r="W113" s="30" t="s">
        <v>245</v>
      </c>
      <c r="X113" s="30" t="s">
        <v>245</v>
      </c>
      <c r="Y113" s="30" t="s">
        <v>245</v>
      </c>
      <c r="Z113" s="30" t="s">
        <v>245</v>
      </c>
      <c r="AA113" s="30" t="s">
        <v>245</v>
      </c>
      <c r="AB113" s="30" t="s">
        <v>245</v>
      </c>
      <c r="AC113" s="30" t="s">
        <v>1168</v>
      </c>
      <c r="AD113" s="30" t="s">
        <v>1169</v>
      </c>
      <c r="AE113" s="30" t="s">
        <v>245</v>
      </c>
      <c r="AF113" s="30" t="s">
        <v>245</v>
      </c>
      <c r="AG113" s="30" t="s">
        <v>245</v>
      </c>
      <c r="AH113" s="30" t="s">
        <v>245</v>
      </c>
      <c r="AI113" s="30" t="s">
        <v>245</v>
      </c>
      <c r="AJ113" s="30" t="s">
        <v>245</v>
      </c>
      <c r="AK113" s="30" t="s">
        <v>245</v>
      </c>
      <c r="AL113" s="30" t="s">
        <v>245</v>
      </c>
      <c r="AM113" s="30" t="s">
        <v>245</v>
      </c>
      <c r="AN113" s="30" t="s">
        <v>245</v>
      </c>
      <c r="AO113" s="30" t="s">
        <v>245</v>
      </c>
      <c r="AP113" s="30" t="s">
        <v>245</v>
      </c>
      <c r="AQ113" s="30" t="s">
        <v>285</v>
      </c>
      <c r="AR113" s="30" t="s">
        <v>370</v>
      </c>
      <c r="AS113" s="30" t="s">
        <v>245</v>
      </c>
      <c r="AT113" s="30" t="s">
        <v>245</v>
      </c>
      <c r="AU113" s="30" t="s">
        <v>245</v>
      </c>
      <c r="AV113" s="30" t="s">
        <v>354</v>
      </c>
      <c r="AW113" s="30">
        <v>2020</v>
      </c>
      <c r="AX113" s="30">
        <v>143</v>
      </c>
      <c r="AY113" s="30" t="s">
        <v>245</v>
      </c>
      <c r="AZ113" s="30" t="s">
        <v>245</v>
      </c>
      <c r="BA113" s="30" t="s">
        <v>245</v>
      </c>
      <c r="BB113" s="30" t="s">
        <v>245</v>
      </c>
      <c r="BC113" s="30" t="s">
        <v>245</v>
      </c>
      <c r="BD113" s="30" t="s">
        <v>245</v>
      </c>
      <c r="BE113" s="30" t="s">
        <v>245</v>
      </c>
      <c r="BF113" s="30">
        <v>107757</v>
      </c>
      <c r="BG113" s="30" t="s">
        <v>1170</v>
      </c>
      <c r="BH113" s="30" t="str">
        <f>HYPERLINK("http://dx.doi.org/10.1016/j.soilbio.2020.107757","http://dx.doi.org/10.1016/j.soilbio.2020.107757")</f>
        <v>http://dx.doi.org/10.1016/j.soilbio.2020.107757</v>
      </c>
      <c r="BI113" s="30" t="s">
        <v>245</v>
      </c>
      <c r="BJ113" s="30" t="s">
        <v>245</v>
      </c>
      <c r="BK113" s="30" t="s">
        <v>245</v>
      </c>
      <c r="BL113" s="30" t="s">
        <v>245</v>
      </c>
      <c r="BM113" s="30" t="s">
        <v>245</v>
      </c>
      <c r="BN113" s="30" t="s">
        <v>245</v>
      </c>
      <c r="BO113" s="30" t="s">
        <v>245</v>
      </c>
      <c r="BP113" s="30" t="s">
        <v>245</v>
      </c>
      <c r="BQ113" s="30" t="s">
        <v>245</v>
      </c>
      <c r="BR113" s="30" t="s">
        <v>245</v>
      </c>
      <c r="BS113" s="30" t="s">
        <v>245</v>
      </c>
      <c r="BT113" s="30" t="s">
        <v>245</v>
      </c>
      <c r="BU113" s="30" t="s">
        <v>1171</v>
      </c>
      <c r="BV113" s="30" t="str">
        <f>HYPERLINK("https%3A%2F%2Fwww.webofscience.com%2Fwos%2Fwoscc%2Ffull-record%2FWOS:000523634500013","View Full Record in Web of Science")</f>
        <v>View Full Record in Web of Science</v>
      </c>
    </row>
    <row r="114" spans="1:74" x14ac:dyDescent="0.2">
      <c r="A114" s="30" t="s">
        <v>243</v>
      </c>
      <c r="B114" s="30" t="s">
        <v>1172</v>
      </c>
      <c r="C114" s="30" t="s">
        <v>245</v>
      </c>
      <c r="D114" s="30" t="s">
        <v>245</v>
      </c>
      <c r="E114" s="30" t="s">
        <v>245</v>
      </c>
      <c r="F114" s="30" t="s">
        <v>1173</v>
      </c>
      <c r="G114" s="30" t="s">
        <v>245</v>
      </c>
      <c r="H114" s="30" t="s">
        <v>245</v>
      </c>
      <c r="I114" s="30" t="s">
        <v>2819</v>
      </c>
      <c r="K114" s="30" t="s">
        <v>1174</v>
      </c>
      <c r="L114" s="30" t="s">
        <v>282</v>
      </c>
      <c r="M114" s="30" t="s">
        <v>245</v>
      </c>
      <c r="N114" s="30" t="s">
        <v>245</v>
      </c>
      <c r="O114" s="30" t="s">
        <v>245</v>
      </c>
      <c r="P114" s="30" t="s">
        <v>245</v>
      </c>
      <c r="Q114" s="30" t="s">
        <v>245</v>
      </c>
      <c r="R114" s="30" t="s">
        <v>245</v>
      </c>
      <c r="S114" s="30" t="s">
        <v>245</v>
      </c>
      <c r="T114" s="30" t="s">
        <v>245</v>
      </c>
      <c r="U114" s="30" t="s">
        <v>245</v>
      </c>
      <c r="V114" s="30" t="s">
        <v>245</v>
      </c>
      <c r="W114" s="30" t="s">
        <v>245</v>
      </c>
      <c r="X114" s="30" t="s">
        <v>245</v>
      </c>
      <c r="Y114" s="30" t="s">
        <v>245</v>
      </c>
      <c r="Z114" s="30" t="s">
        <v>245</v>
      </c>
      <c r="AA114" s="30" t="s">
        <v>245</v>
      </c>
      <c r="AB114" s="30" t="s">
        <v>245</v>
      </c>
      <c r="AC114" s="30" t="s">
        <v>1175</v>
      </c>
      <c r="AD114" s="30" t="s">
        <v>1176</v>
      </c>
      <c r="AE114" s="30" t="s">
        <v>245</v>
      </c>
      <c r="AF114" s="30" t="s">
        <v>245</v>
      </c>
      <c r="AG114" s="30" t="s">
        <v>245</v>
      </c>
      <c r="AH114" s="30" t="s">
        <v>245</v>
      </c>
      <c r="AI114" s="30" t="s">
        <v>245</v>
      </c>
      <c r="AJ114" s="30" t="s">
        <v>245</v>
      </c>
      <c r="AK114" s="30" t="s">
        <v>245</v>
      </c>
      <c r="AL114" s="30" t="s">
        <v>245</v>
      </c>
      <c r="AM114" s="30" t="s">
        <v>245</v>
      </c>
      <c r="AN114" s="30" t="s">
        <v>245</v>
      </c>
      <c r="AO114" s="30" t="s">
        <v>245</v>
      </c>
      <c r="AP114" s="30" t="s">
        <v>245</v>
      </c>
      <c r="AQ114" s="30" t="s">
        <v>285</v>
      </c>
      <c r="AR114" s="30" t="s">
        <v>370</v>
      </c>
      <c r="AS114" s="30" t="s">
        <v>245</v>
      </c>
      <c r="AT114" s="30" t="s">
        <v>245</v>
      </c>
      <c r="AU114" s="30" t="s">
        <v>245</v>
      </c>
      <c r="AV114" s="30" t="s">
        <v>435</v>
      </c>
      <c r="AW114" s="30">
        <v>2021</v>
      </c>
      <c r="AX114" s="30">
        <v>156</v>
      </c>
      <c r="AY114" s="30" t="s">
        <v>245</v>
      </c>
      <c r="AZ114" s="30" t="s">
        <v>245</v>
      </c>
      <c r="BA114" s="30" t="s">
        <v>245</v>
      </c>
      <c r="BB114" s="30" t="s">
        <v>245</v>
      </c>
      <c r="BC114" s="30" t="s">
        <v>245</v>
      </c>
      <c r="BD114" s="30" t="s">
        <v>245</v>
      </c>
      <c r="BE114" s="30" t="s">
        <v>245</v>
      </c>
      <c r="BF114" s="30">
        <v>108197</v>
      </c>
      <c r="BG114" s="30" t="s">
        <v>1177</v>
      </c>
      <c r="BH114" s="30" t="str">
        <f>HYPERLINK("http://dx.doi.org/10.1016/j.soilbio.2021.108197","http://dx.doi.org/10.1016/j.soilbio.2021.108197")</f>
        <v>http://dx.doi.org/10.1016/j.soilbio.2021.108197</v>
      </c>
      <c r="BI114" s="30" t="s">
        <v>245</v>
      </c>
      <c r="BJ114" s="30" t="s">
        <v>524</v>
      </c>
      <c r="BK114" s="30" t="s">
        <v>245</v>
      </c>
      <c r="BL114" s="30" t="s">
        <v>245</v>
      </c>
      <c r="BM114" s="30" t="s">
        <v>245</v>
      </c>
      <c r="BN114" s="30" t="s">
        <v>245</v>
      </c>
      <c r="BO114" s="30" t="s">
        <v>245</v>
      </c>
      <c r="BP114" s="30" t="s">
        <v>245</v>
      </c>
      <c r="BQ114" s="30" t="s">
        <v>245</v>
      </c>
      <c r="BR114" s="30" t="s">
        <v>245</v>
      </c>
      <c r="BS114" s="30" t="s">
        <v>245</v>
      </c>
      <c r="BT114" s="30" t="s">
        <v>245</v>
      </c>
      <c r="BU114" s="30" t="s">
        <v>1178</v>
      </c>
      <c r="BV114" s="30" t="str">
        <f>HYPERLINK("https%3A%2F%2Fwww.webofscience.com%2Fwos%2Fwoscc%2Ffull-record%2FWOS:000640189100035","View Full Record in Web of Science")</f>
        <v>View Full Record in Web of Science</v>
      </c>
    </row>
    <row r="115" spans="1:74" x14ac:dyDescent="0.2">
      <c r="A115" s="30" t="s">
        <v>243</v>
      </c>
      <c r="B115" s="30" t="s">
        <v>1179</v>
      </c>
      <c r="C115" s="30" t="s">
        <v>245</v>
      </c>
      <c r="D115" s="30" t="s">
        <v>245</v>
      </c>
      <c r="E115" s="30" t="s">
        <v>245</v>
      </c>
      <c r="F115" s="30" t="s">
        <v>1180</v>
      </c>
      <c r="G115" s="30" t="s">
        <v>245</v>
      </c>
      <c r="H115" s="30" t="s">
        <v>245</v>
      </c>
      <c r="I115" s="30" t="s">
        <v>2823</v>
      </c>
      <c r="K115" s="30" t="s">
        <v>1181</v>
      </c>
      <c r="L115" s="30" t="s">
        <v>1182</v>
      </c>
      <c r="M115" s="30" t="s">
        <v>245</v>
      </c>
      <c r="N115" s="30" t="s">
        <v>245</v>
      </c>
      <c r="O115" s="30" t="s">
        <v>245</v>
      </c>
      <c r="P115" s="30" t="s">
        <v>245</v>
      </c>
      <c r="Q115" s="30" t="s">
        <v>245</v>
      </c>
      <c r="R115" s="30" t="s">
        <v>245</v>
      </c>
      <c r="S115" s="30" t="s">
        <v>245</v>
      </c>
      <c r="T115" s="30" t="s">
        <v>245</v>
      </c>
      <c r="U115" s="30" t="s">
        <v>245</v>
      </c>
      <c r="V115" s="30" t="s">
        <v>245</v>
      </c>
      <c r="W115" s="30" t="s">
        <v>245</v>
      </c>
      <c r="X115" s="30" t="s">
        <v>245</v>
      </c>
      <c r="Y115" s="30" t="s">
        <v>245</v>
      </c>
      <c r="Z115" s="30" t="s">
        <v>245</v>
      </c>
      <c r="AA115" s="30" t="s">
        <v>245</v>
      </c>
      <c r="AB115" s="30" t="s">
        <v>245</v>
      </c>
      <c r="AC115" s="30" t="s">
        <v>1183</v>
      </c>
      <c r="AD115" s="30" t="s">
        <v>1184</v>
      </c>
      <c r="AE115" s="30" t="s">
        <v>245</v>
      </c>
      <c r="AF115" s="30" t="s">
        <v>245</v>
      </c>
      <c r="AG115" s="30" t="s">
        <v>245</v>
      </c>
      <c r="AH115" s="30" t="s">
        <v>245</v>
      </c>
      <c r="AI115" s="30" t="s">
        <v>245</v>
      </c>
      <c r="AJ115" s="30" t="s">
        <v>245</v>
      </c>
      <c r="AK115" s="30" t="s">
        <v>245</v>
      </c>
      <c r="AL115" s="30" t="s">
        <v>245</v>
      </c>
      <c r="AM115" s="30" t="s">
        <v>245</v>
      </c>
      <c r="AN115" s="30" t="s">
        <v>245</v>
      </c>
      <c r="AO115" s="30" t="s">
        <v>245</v>
      </c>
      <c r="AP115" s="30" t="s">
        <v>245</v>
      </c>
      <c r="AQ115" s="30" t="s">
        <v>245</v>
      </c>
      <c r="AR115" s="30" t="s">
        <v>1185</v>
      </c>
      <c r="AS115" s="30" t="s">
        <v>245</v>
      </c>
      <c r="AT115" s="30" t="s">
        <v>245</v>
      </c>
      <c r="AU115" s="30" t="s">
        <v>245</v>
      </c>
      <c r="AV115" s="30" t="s">
        <v>265</v>
      </c>
      <c r="AW115" s="30">
        <v>2021</v>
      </c>
      <c r="AX115" s="30">
        <v>12</v>
      </c>
      <c r="AY115" s="30">
        <v>6</v>
      </c>
      <c r="AZ115" s="30" t="s">
        <v>245</v>
      </c>
      <c r="BA115" s="30" t="s">
        <v>245</v>
      </c>
      <c r="BB115" s="30" t="s">
        <v>245</v>
      </c>
      <c r="BC115" s="30" t="s">
        <v>245</v>
      </c>
      <c r="BD115" s="30" t="s">
        <v>245</v>
      </c>
      <c r="BE115" s="30" t="s">
        <v>245</v>
      </c>
      <c r="BF115" s="30">
        <v>697</v>
      </c>
      <c r="BG115" s="30" t="s">
        <v>1186</v>
      </c>
      <c r="BH115" s="30" t="str">
        <f>HYPERLINK("http://dx.doi.org/10.3390/atmos12060697","http://dx.doi.org/10.3390/atmos12060697")</f>
        <v>http://dx.doi.org/10.3390/atmos12060697</v>
      </c>
      <c r="BI115" s="30" t="s">
        <v>245</v>
      </c>
      <c r="BJ115" s="30" t="s">
        <v>245</v>
      </c>
      <c r="BK115" s="30" t="s">
        <v>245</v>
      </c>
      <c r="BL115" s="30" t="s">
        <v>245</v>
      </c>
      <c r="BM115" s="30" t="s">
        <v>245</v>
      </c>
      <c r="BN115" s="30" t="s">
        <v>245</v>
      </c>
      <c r="BO115" s="30" t="s">
        <v>245</v>
      </c>
      <c r="BP115" s="30" t="s">
        <v>245</v>
      </c>
      <c r="BQ115" s="30" t="s">
        <v>245</v>
      </c>
      <c r="BR115" s="30" t="s">
        <v>245</v>
      </c>
      <c r="BS115" s="30" t="s">
        <v>245</v>
      </c>
      <c r="BT115" s="30" t="s">
        <v>245</v>
      </c>
      <c r="BU115" s="30" t="s">
        <v>1187</v>
      </c>
      <c r="BV115" s="30" t="str">
        <f>HYPERLINK("https%3A%2F%2Fwww.webofscience.com%2Fwos%2Fwoscc%2Ffull-record%2FWOS:000665352500001","View Full Record in Web of Science")</f>
        <v>View Full Record in Web of Science</v>
      </c>
    </row>
    <row r="116" spans="1:74" x14ac:dyDescent="0.2">
      <c r="A116" s="30" t="s">
        <v>243</v>
      </c>
      <c r="B116" s="30" t="s">
        <v>1188</v>
      </c>
      <c r="C116" s="30" t="s">
        <v>245</v>
      </c>
      <c r="D116" s="30" t="s">
        <v>245</v>
      </c>
      <c r="E116" s="30" t="s">
        <v>245</v>
      </c>
      <c r="F116" s="30" t="s">
        <v>1189</v>
      </c>
      <c r="G116" s="30" t="s">
        <v>245</v>
      </c>
      <c r="H116" s="30" t="s">
        <v>245</v>
      </c>
      <c r="I116" s="30" t="s">
        <v>2821</v>
      </c>
      <c r="K116" s="30" t="s">
        <v>1190</v>
      </c>
      <c r="L116" s="30" t="s">
        <v>282</v>
      </c>
      <c r="M116" s="30" t="s">
        <v>245</v>
      </c>
      <c r="N116" s="30" t="s">
        <v>245</v>
      </c>
      <c r="O116" s="30" t="s">
        <v>245</v>
      </c>
      <c r="P116" s="30" t="s">
        <v>245</v>
      </c>
      <c r="Q116" s="30" t="s">
        <v>245</v>
      </c>
      <c r="R116" s="30" t="s">
        <v>245</v>
      </c>
      <c r="S116" s="30" t="s">
        <v>245</v>
      </c>
      <c r="T116" s="30" t="s">
        <v>245</v>
      </c>
      <c r="U116" s="30" t="s">
        <v>245</v>
      </c>
      <c r="V116" s="30" t="s">
        <v>245</v>
      </c>
      <c r="W116" s="30" t="s">
        <v>245</v>
      </c>
      <c r="X116" s="30" t="s">
        <v>245</v>
      </c>
      <c r="Y116" s="30" t="s">
        <v>245</v>
      </c>
      <c r="Z116" s="30" t="s">
        <v>245</v>
      </c>
      <c r="AA116" s="30" t="s">
        <v>245</v>
      </c>
      <c r="AB116" s="30" t="s">
        <v>245</v>
      </c>
      <c r="AC116" s="30" t="s">
        <v>1191</v>
      </c>
      <c r="AD116" s="30" t="s">
        <v>1192</v>
      </c>
      <c r="AE116" s="30" t="s">
        <v>245</v>
      </c>
      <c r="AF116" s="30" t="s">
        <v>245</v>
      </c>
      <c r="AG116" s="30" t="s">
        <v>245</v>
      </c>
      <c r="AH116" s="30" t="s">
        <v>245</v>
      </c>
      <c r="AI116" s="30" t="s">
        <v>245</v>
      </c>
      <c r="AJ116" s="30" t="s">
        <v>245</v>
      </c>
      <c r="AK116" s="30" t="s">
        <v>245</v>
      </c>
      <c r="AL116" s="30" t="s">
        <v>245</v>
      </c>
      <c r="AM116" s="30" t="s">
        <v>245</v>
      </c>
      <c r="AN116" s="30" t="s">
        <v>245</v>
      </c>
      <c r="AO116" s="30" t="s">
        <v>245</v>
      </c>
      <c r="AP116" s="30" t="s">
        <v>245</v>
      </c>
      <c r="AQ116" s="30" t="s">
        <v>285</v>
      </c>
      <c r="AR116" s="30" t="s">
        <v>370</v>
      </c>
      <c r="AS116" s="30" t="s">
        <v>245</v>
      </c>
      <c r="AT116" s="30" t="s">
        <v>245</v>
      </c>
      <c r="AU116" s="30" t="s">
        <v>245</v>
      </c>
      <c r="AV116" s="30" t="s">
        <v>286</v>
      </c>
      <c r="AW116" s="30">
        <v>2017</v>
      </c>
      <c r="AX116" s="30">
        <v>104</v>
      </c>
      <c r="AY116" s="30" t="s">
        <v>245</v>
      </c>
      <c r="AZ116" s="30" t="s">
        <v>245</v>
      </c>
      <c r="BA116" s="30" t="s">
        <v>245</v>
      </c>
      <c r="BB116" s="30" t="s">
        <v>245</v>
      </c>
      <c r="BC116" s="30" t="s">
        <v>245</v>
      </c>
      <c r="BD116" s="30">
        <v>197</v>
      </c>
      <c r="BE116" s="30">
        <v>207</v>
      </c>
      <c r="BF116" s="30" t="s">
        <v>245</v>
      </c>
      <c r="BG116" s="30" t="s">
        <v>1193</v>
      </c>
      <c r="BH116" s="30" t="str">
        <f>HYPERLINK("http://dx.doi.org/10.1016/j.soilbio.2016.10.022","http://dx.doi.org/10.1016/j.soilbio.2016.10.022")</f>
        <v>http://dx.doi.org/10.1016/j.soilbio.2016.10.022</v>
      </c>
      <c r="BI116" s="30" t="s">
        <v>245</v>
      </c>
      <c r="BJ116" s="30" t="s">
        <v>245</v>
      </c>
      <c r="BK116" s="30" t="s">
        <v>245</v>
      </c>
      <c r="BL116" s="30" t="s">
        <v>245</v>
      </c>
      <c r="BM116" s="30" t="s">
        <v>245</v>
      </c>
      <c r="BN116" s="30" t="s">
        <v>245</v>
      </c>
      <c r="BO116" s="30" t="s">
        <v>245</v>
      </c>
      <c r="BP116" s="30" t="s">
        <v>245</v>
      </c>
      <c r="BQ116" s="30" t="s">
        <v>245</v>
      </c>
      <c r="BR116" s="30" t="s">
        <v>245</v>
      </c>
      <c r="BS116" s="30" t="s">
        <v>245</v>
      </c>
      <c r="BT116" s="30" t="s">
        <v>245</v>
      </c>
      <c r="BU116" s="30" t="s">
        <v>1194</v>
      </c>
      <c r="BV116" s="30" t="str">
        <f>HYPERLINK("https%3A%2F%2Fwww.webofscience.com%2Fwos%2Fwoscc%2Ffull-record%2FWOS:000389555900019","View Full Record in Web of Science")</f>
        <v>View Full Record in Web of Science</v>
      </c>
    </row>
    <row r="117" spans="1:74" x14ac:dyDescent="0.2">
      <c r="A117" s="30" t="s">
        <v>243</v>
      </c>
      <c r="B117" s="30" t="s">
        <v>1195</v>
      </c>
      <c r="C117" s="30" t="s">
        <v>245</v>
      </c>
      <c r="D117" s="30" t="s">
        <v>245</v>
      </c>
      <c r="E117" s="30" t="s">
        <v>245</v>
      </c>
      <c r="F117" s="30" t="s">
        <v>1196</v>
      </c>
      <c r="G117" s="30" t="s">
        <v>245</v>
      </c>
      <c r="H117" s="30" t="s">
        <v>245</v>
      </c>
      <c r="I117" s="30" t="s">
        <v>2819</v>
      </c>
      <c r="K117" s="30" t="s">
        <v>1197</v>
      </c>
      <c r="L117" s="30" t="s">
        <v>248</v>
      </c>
      <c r="M117" s="30" t="s">
        <v>245</v>
      </c>
      <c r="N117" s="30" t="s">
        <v>245</v>
      </c>
      <c r="O117" s="30" t="s">
        <v>245</v>
      </c>
      <c r="P117" s="30" t="s">
        <v>245</v>
      </c>
      <c r="Q117" s="30" t="s">
        <v>245</v>
      </c>
      <c r="R117" s="30" t="s">
        <v>245</v>
      </c>
      <c r="S117" s="30" t="s">
        <v>245</v>
      </c>
      <c r="T117" s="30" t="s">
        <v>245</v>
      </c>
      <c r="U117" s="30" t="s">
        <v>245</v>
      </c>
      <c r="V117" s="30" t="s">
        <v>245</v>
      </c>
      <c r="W117" s="30" t="s">
        <v>245</v>
      </c>
      <c r="X117" s="30" t="s">
        <v>245</v>
      </c>
      <c r="Y117" s="30" t="s">
        <v>245</v>
      </c>
      <c r="Z117" s="30" t="s">
        <v>245</v>
      </c>
      <c r="AA117" s="30" t="s">
        <v>245</v>
      </c>
      <c r="AB117" s="30" t="s">
        <v>245</v>
      </c>
      <c r="AC117" s="30" t="s">
        <v>1198</v>
      </c>
      <c r="AD117" s="30" t="s">
        <v>1199</v>
      </c>
      <c r="AE117" s="30" t="s">
        <v>245</v>
      </c>
      <c r="AF117" s="30" t="s">
        <v>245</v>
      </c>
      <c r="AG117" s="30" t="s">
        <v>245</v>
      </c>
      <c r="AH117" s="30" t="s">
        <v>245</v>
      </c>
      <c r="AI117" s="30" t="s">
        <v>245</v>
      </c>
      <c r="AJ117" s="30" t="s">
        <v>245</v>
      </c>
      <c r="AK117" s="30" t="s">
        <v>245</v>
      </c>
      <c r="AL117" s="30" t="s">
        <v>245</v>
      </c>
      <c r="AM117" s="30" t="s">
        <v>245</v>
      </c>
      <c r="AN117" s="30" t="s">
        <v>245</v>
      </c>
      <c r="AO117" s="30" t="s">
        <v>245</v>
      </c>
      <c r="AP117" s="30" t="s">
        <v>245</v>
      </c>
      <c r="AQ117" s="30" t="s">
        <v>251</v>
      </c>
      <c r="AR117" s="30" t="s">
        <v>252</v>
      </c>
      <c r="AS117" s="30" t="s">
        <v>245</v>
      </c>
      <c r="AT117" s="30" t="s">
        <v>245</v>
      </c>
      <c r="AU117" s="30" t="s">
        <v>245</v>
      </c>
      <c r="AV117" s="30" t="s">
        <v>1200</v>
      </c>
      <c r="AW117" s="30">
        <v>2023</v>
      </c>
      <c r="AX117" s="30">
        <v>54</v>
      </c>
      <c r="AY117" s="30">
        <v>13</v>
      </c>
      <c r="AZ117" s="30" t="s">
        <v>245</v>
      </c>
      <c r="BA117" s="30" t="s">
        <v>245</v>
      </c>
      <c r="BB117" s="30" t="s">
        <v>245</v>
      </c>
      <c r="BC117" s="30" t="s">
        <v>245</v>
      </c>
      <c r="BD117" s="30">
        <v>1741</v>
      </c>
      <c r="BE117" s="30">
        <v>1754</v>
      </c>
      <c r="BF117" s="30" t="s">
        <v>245</v>
      </c>
      <c r="BG117" s="30" t="s">
        <v>1201</v>
      </c>
      <c r="BH117" s="30" t="str">
        <f>HYPERLINK("http://dx.doi.org/10.1080/00103624.2023.2211092","http://dx.doi.org/10.1080/00103624.2023.2211092")</f>
        <v>http://dx.doi.org/10.1080/00103624.2023.2211092</v>
      </c>
      <c r="BI117" s="30" t="s">
        <v>245</v>
      </c>
      <c r="BJ117" s="30" t="s">
        <v>1202</v>
      </c>
      <c r="BK117" s="30" t="s">
        <v>245</v>
      </c>
      <c r="BL117" s="30" t="s">
        <v>245</v>
      </c>
      <c r="BM117" s="30" t="s">
        <v>245</v>
      </c>
      <c r="BN117" s="30" t="s">
        <v>245</v>
      </c>
      <c r="BO117" s="30" t="s">
        <v>245</v>
      </c>
      <c r="BP117" s="30" t="s">
        <v>245</v>
      </c>
      <c r="BQ117" s="30" t="s">
        <v>245</v>
      </c>
      <c r="BR117" s="30" t="s">
        <v>245</v>
      </c>
      <c r="BS117" s="30" t="s">
        <v>245</v>
      </c>
      <c r="BT117" s="30" t="s">
        <v>245</v>
      </c>
      <c r="BU117" s="30" t="s">
        <v>1203</v>
      </c>
      <c r="BV117" s="30" t="str">
        <f>HYPERLINK("https%3A%2F%2Fwww.webofscience.com%2Fwos%2Fwoscc%2Ffull-record%2FWOS:000986109700001","View Full Record in Web of Science")</f>
        <v>View Full Record in Web of Science</v>
      </c>
    </row>
    <row r="118" spans="1:74" x14ac:dyDescent="0.2">
      <c r="A118" s="30" t="s">
        <v>243</v>
      </c>
      <c r="B118" s="30" t="s">
        <v>1204</v>
      </c>
      <c r="C118" s="30" t="s">
        <v>245</v>
      </c>
      <c r="D118" s="30" t="s">
        <v>245</v>
      </c>
      <c r="E118" s="30" t="s">
        <v>245</v>
      </c>
      <c r="F118" s="30" t="s">
        <v>1205</v>
      </c>
      <c r="G118" s="30" t="s">
        <v>245</v>
      </c>
      <c r="H118" s="30" t="s">
        <v>245</v>
      </c>
      <c r="I118" s="30" t="s">
        <v>2823</v>
      </c>
      <c r="K118" s="30" t="s">
        <v>1206</v>
      </c>
      <c r="L118" s="30" t="s">
        <v>336</v>
      </c>
      <c r="M118" s="30" t="s">
        <v>245</v>
      </c>
      <c r="N118" s="30" t="s">
        <v>245</v>
      </c>
      <c r="O118" s="30" t="s">
        <v>245</v>
      </c>
      <c r="P118" s="30" t="s">
        <v>245</v>
      </c>
      <c r="Q118" s="30" t="s">
        <v>245</v>
      </c>
      <c r="R118" s="30" t="s">
        <v>245</v>
      </c>
      <c r="S118" s="30" t="s">
        <v>245</v>
      </c>
      <c r="T118" s="30" t="s">
        <v>245</v>
      </c>
      <c r="U118" s="30" t="s">
        <v>245</v>
      </c>
      <c r="V118" s="30" t="s">
        <v>245</v>
      </c>
      <c r="W118" s="30" t="s">
        <v>245</v>
      </c>
      <c r="X118" s="30" t="s">
        <v>245</v>
      </c>
      <c r="Y118" s="30" t="s">
        <v>245</v>
      </c>
      <c r="Z118" s="30" t="s">
        <v>245</v>
      </c>
      <c r="AA118" s="30" t="s">
        <v>245</v>
      </c>
      <c r="AB118" s="30" t="s">
        <v>245</v>
      </c>
      <c r="AC118" s="30" t="s">
        <v>245</v>
      </c>
      <c r="AD118" s="30" t="s">
        <v>1207</v>
      </c>
      <c r="AE118" s="30" t="s">
        <v>245</v>
      </c>
      <c r="AF118" s="30" t="s">
        <v>245</v>
      </c>
      <c r="AG118" s="30" t="s">
        <v>245</v>
      </c>
      <c r="AH118" s="30" t="s">
        <v>245</v>
      </c>
      <c r="AI118" s="30" t="s">
        <v>245</v>
      </c>
      <c r="AJ118" s="30" t="s">
        <v>245</v>
      </c>
      <c r="AK118" s="30" t="s">
        <v>245</v>
      </c>
      <c r="AL118" s="30" t="s">
        <v>245</v>
      </c>
      <c r="AM118" s="30" t="s">
        <v>245</v>
      </c>
      <c r="AN118" s="30" t="s">
        <v>245</v>
      </c>
      <c r="AO118" s="30" t="s">
        <v>245</v>
      </c>
      <c r="AP118" s="30" t="s">
        <v>245</v>
      </c>
      <c r="AQ118" s="30" t="s">
        <v>343</v>
      </c>
      <c r="AR118" s="30" t="s">
        <v>245</v>
      </c>
      <c r="AS118" s="30" t="s">
        <v>245</v>
      </c>
      <c r="AT118" s="30" t="s">
        <v>245</v>
      </c>
      <c r="AU118" s="30" t="s">
        <v>245</v>
      </c>
      <c r="AV118" s="30" t="s">
        <v>646</v>
      </c>
      <c r="AW118" s="30">
        <v>2007</v>
      </c>
      <c r="AX118" s="30">
        <v>78</v>
      </c>
      <c r="AY118" s="30">
        <v>3</v>
      </c>
      <c r="AZ118" s="30" t="s">
        <v>245</v>
      </c>
      <c r="BA118" s="30" t="s">
        <v>245</v>
      </c>
      <c r="BB118" s="30" t="s">
        <v>245</v>
      </c>
      <c r="BC118" s="30" t="s">
        <v>245</v>
      </c>
      <c r="BD118" s="30">
        <v>291</v>
      </c>
      <c r="BE118" s="30">
        <v>303</v>
      </c>
      <c r="BF118" s="30" t="s">
        <v>245</v>
      </c>
      <c r="BG118" s="30" t="s">
        <v>1208</v>
      </c>
      <c r="BH118" s="30" t="str">
        <f>HYPERLINK("http://dx.doi.org/10.1007/s10705-007-9092-8","http://dx.doi.org/10.1007/s10705-007-9092-8")</f>
        <v>http://dx.doi.org/10.1007/s10705-007-9092-8</v>
      </c>
      <c r="BI118" s="30" t="s">
        <v>245</v>
      </c>
      <c r="BJ118" s="30" t="s">
        <v>245</v>
      </c>
      <c r="BK118" s="30" t="s">
        <v>245</v>
      </c>
      <c r="BL118" s="30" t="s">
        <v>245</v>
      </c>
      <c r="BM118" s="30" t="s">
        <v>245</v>
      </c>
      <c r="BN118" s="30" t="s">
        <v>245</v>
      </c>
      <c r="BO118" s="30" t="s">
        <v>245</v>
      </c>
      <c r="BP118" s="30" t="s">
        <v>245</v>
      </c>
      <c r="BQ118" s="30" t="s">
        <v>245</v>
      </c>
      <c r="BR118" s="30" t="s">
        <v>245</v>
      </c>
      <c r="BS118" s="30" t="s">
        <v>245</v>
      </c>
      <c r="BT118" s="30" t="s">
        <v>245</v>
      </c>
      <c r="BU118" s="30" t="s">
        <v>1209</v>
      </c>
      <c r="BV118" s="30" t="str">
        <f>HYPERLINK("https%3A%2F%2Fwww.webofscience.com%2Fwos%2Fwoscc%2Ffull-record%2FWOS:000247387800007","View Full Record in Web of Science")</f>
        <v>View Full Record in Web of Science</v>
      </c>
    </row>
    <row r="119" spans="1:74" x14ac:dyDescent="0.2">
      <c r="A119" s="30" t="s">
        <v>243</v>
      </c>
      <c r="B119" s="30" t="s">
        <v>1210</v>
      </c>
      <c r="C119" s="30" t="s">
        <v>245</v>
      </c>
      <c r="D119" s="30" t="s">
        <v>245</v>
      </c>
      <c r="E119" s="30" t="s">
        <v>245</v>
      </c>
      <c r="F119" s="30" t="s">
        <v>1211</v>
      </c>
      <c r="G119" s="30" t="s">
        <v>245</v>
      </c>
      <c r="H119" s="30" t="s">
        <v>245</v>
      </c>
      <c r="I119" s="30" t="s">
        <v>2819</v>
      </c>
      <c r="K119" s="30" t="s">
        <v>1212</v>
      </c>
      <c r="L119" s="30" t="s">
        <v>1213</v>
      </c>
      <c r="M119" s="30" t="s">
        <v>245</v>
      </c>
      <c r="N119" s="30" t="s">
        <v>245</v>
      </c>
      <c r="O119" s="30" t="s">
        <v>245</v>
      </c>
      <c r="P119" s="30" t="s">
        <v>245</v>
      </c>
      <c r="Q119" s="30" t="s">
        <v>245</v>
      </c>
      <c r="R119" s="30" t="s">
        <v>245</v>
      </c>
      <c r="S119" s="30" t="s">
        <v>245</v>
      </c>
      <c r="T119" s="30" t="s">
        <v>245</v>
      </c>
      <c r="U119" s="30" t="s">
        <v>245</v>
      </c>
      <c r="V119" s="30" t="s">
        <v>245</v>
      </c>
      <c r="W119" s="30" t="s">
        <v>245</v>
      </c>
      <c r="X119" s="30" t="s">
        <v>245</v>
      </c>
      <c r="Y119" s="30" t="s">
        <v>245</v>
      </c>
      <c r="Z119" s="30" t="s">
        <v>245</v>
      </c>
      <c r="AA119" s="30" t="s">
        <v>245</v>
      </c>
      <c r="AB119" s="30" t="s">
        <v>245</v>
      </c>
      <c r="AC119" s="30" t="s">
        <v>1214</v>
      </c>
      <c r="AD119" s="30" t="s">
        <v>1215</v>
      </c>
      <c r="AE119" s="30" t="s">
        <v>245</v>
      </c>
      <c r="AF119" s="30" t="s">
        <v>245</v>
      </c>
      <c r="AG119" s="30" t="s">
        <v>245</v>
      </c>
      <c r="AH119" s="30" t="s">
        <v>245</v>
      </c>
      <c r="AI119" s="30" t="s">
        <v>245</v>
      </c>
      <c r="AJ119" s="30" t="s">
        <v>245</v>
      </c>
      <c r="AK119" s="30" t="s">
        <v>245</v>
      </c>
      <c r="AL119" s="30" t="s">
        <v>245</v>
      </c>
      <c r="AM119" s="30" t="s">
        <v>245</v>
      </c>
      <c r="AN119" s="30" t="s">
        <v>245</v>
      </c>
      <c r="AO119" s="30" t="s">
        <v>245</v>
      </c>
      <c r="AP119" s="30" t="s">
        <v>245</v>
      </c>
      <c r="AQ119" s="30" t="s">
        <v>1216</v>
      </c>
      <c r="AR119" s="30" t="s">
        <v>1217</v>
      </c>
      <c r="AS119" s="30" t="s">
        <v>245</v>
      </c>
      <c r="AT119" s="30" t="s">
        <v>245</v>
      </c>
      <c r="AU119" s="30" t="s">
        <v>245</v>
      </c>
      <c r="AV119" s="30" t="s">
        <v>286</v>
      </c>
      <c r="AW119" s="30">
        <v>2014</v>
      </c>
      <c r="AX119" s="30">
        <v>8</v>
      </c>
      <c r="AY119" s="30">
        <v>1</v>
      </c>
      <c r="AZ119" s="30" t="s">
        <v>245</v>
      </c>
      <c r="BA119" s="30" t="s">
        <v>245</v>
      </c>
      <c r="BB119" s="30" t="s">
        <v>245</v>
      </c>
      <c r="BC119" s="30" t="s">
        <v>245</v>
      </c>
      <c r="BD119" s="30">
        <v>226</v>
      </c>
      <c r="BE119" s="30">
        <v>244</v>
      </c>
      <c r="BF119" s="30" t="s">
        <v>245</v>
      </c>
      <c r="BG119" s="30" t="s">
        <v>1218</v>
      </c>
      <c r="BH119" s="30" t="str">
        <f>HYPERLINK("http://dx.doi.org/10.1038/ismej.2013.141","http://dx.doi.org/10.1038/ismej.2013.141")</f>
        <v>http://dx.doi.org/10.1038/ismej.2013.141</v>
      </c>
      <c r="BI119" s="30" t="s">
        <v>245</v>
      </c>
      <c r="BJ119" s="30" t="s">
        <v>245</v>
      </c>
      <c r="BK119" s="30" t="s">
        <v>245</v>
      </c>
      <c r="BL119" s="30" t="s">
        <v>245</v>
      </c>
      <c r="BM119" s="30" t="s">
        <v>245</v>
      </c>
      <c r="BN119" s="30" t="s">
        <v>245</v>
      </c>
      <c r="BO119" s="30" t="s">
        <v>245</v>
      </c>
      <c r="BP119" s="30">
        <v>24030594</v>
      </c>
      <c r="BQ119" s="30" t="s">
        <v>245</v>
      </c>
      <c r="BR119" s="30" t="s">
        <v>245</v>
      </c>
      <c r="BS119" s="30" t="s">
        <v>245</v>
      </c>
      <c r="BT119" s="30" t="s">
        <v>245</v>
      </c>
      <c r="BU119" s="30" t="s">
        <v>1219</v>
      </c>
      <c r="BV119" s="30" t="str">
        <f>HYPERLINK("https%3A%2F%2Fwww.webofscience.com%2Fwos%2Fwoscc%2Ffull-record%2FWOS:000328605200020","View Full Record in Web of Science")</f>
        <v>View Full Record in Web of Science</v>
      </c>
    </row>
    <row r="120" spans="1:74" x14ac:dyDescent="0.2">
      <c r="A120" s="30" t="s">
        <v>243</v>
      </c>
      <c r="B120" s="30" t="s">
        <v>1220</v>
      </c>
      <c r="C120" s="30" t="s">
        <v>245</v>
      </c>
      <c r="D120" s="30" t="s">
        <v>245</v>
      </c>
      <c r="E120" s="30" t="s">
        <v>245</v>
      </c>
      <c r="F120" s="30" t="s">
        <v>1221</v>
      </c>
      <c r="G120" s="30" t="s">
        <v>245</v>
      </c>
      <c r="H120" s="30" t="s">
        <v>245</v>
      </c>
      <c r="I120" s="30" t="s">
        <v>2823</v>
      </c>
      <c r="K120" s="30" t="s">
        <v>1222</v>
      </c>
      <c r="L120" s="30" t="s">
        <v>248</v>
      </c>
      <c r="M120" s="30" t="s">
        <v>245</v>
      </c>
      <c r="N120" s="30" t="s">
        <v>245</v>
      </c>
      <c r="O120" s="30" t="s">
        <v>245</v>
      </c>
      <c r="P120" s="30" t="s">
        <v>245</v>
      </c>
      <c r="Q120" s="30" t="s">
        <v>245</v>
      </c>
      <c r="R120" s="30" t="s">
        <v>245</v>
      </c>
      <c r="S120" s="30" t="s">
        <v>245</v>
      </c>
      <c r="T120" s="30" t="s">
        <v>245</v>
      </c>
      <c r="U120" s="30" t="s">
        <v>245</v>
      </c>
      <c r="V120" s="30" t="s">
        <v>245</v>
      </c>
      <c r="W120" s="30" t="s">
        <v>245</v>
      </c>
      <c r="X120" s="30" t="s">
        <v>245</v>
      </c>
      <c r="Y120" s="30" t="s">
        <v>245</v>
      </c>
      <c r="Z120" s="30" t="s">
        <v>245</v>
      </c>
      <c r="AA120" s="30" t="s">
        <v>245</v>
      </c>
      <c r="AB120" s="30" t="s">
        <v>245</v>
      </c>
      <c r="AC120" s="30" t="s">
        <v>1223</v>
      </c>
      <c r="AD120" s="30" t="s">
        <v>1224</v>
      </c>
      <c r="AE120" s="30" t="s">
        <v>245</v>
      </c>
      <c r="AF120" s="30" t="s">
        <v>245</v>
      </c>
      <c r="AG120" s="30" t="s">
        <v>245</v>
      </c>
      <c r="AH120" s="30" t="s">
        <v>245</v>
      </c>
      <c r="AI120" s="30" t="s">
        <v>245</v>
      </c>
      <c r="AJ120" s="30" t="s">
        <v>245</v>
      </c>
      <c r="AK120" s="30" t="s">
        <v>245</v>
      </c>
      <c r="AL120" s="30" t="s">
        <v>245</v>
      </c>
      <c r="AM120" s="30" t="s">
        <v>245</v>
      </c>
      <c r="AN120" s="30" t="s">
        <v>245</v>
      </c>
      <c r="AO120" s="30" t="s">
        <v>245</v>
      </c>
      <c r="AP120" s="30" t="s">
        <v>245</v>
      </c>
      <c r="AQ120" s="30" t="s">
        <v>251</v>
      </c>
      <c r="AR120" s="30" t="s">
        <v>252</v>
      </c>
      <c r="AS120" s="30" t="s">
        <v>245</v>
      </c>
      <c r="AT120" s="30" t="s">
        <v>245</v>
      </c>
      <c r="AU120" s="30" t="s">
        <v>245</v>
      </c>
      <c r="AV120" s="30" t="s">
        <v>245</v>
      </c>
      <c r="AW120" s="30">
        <v>2011</v>
      </c>
      <c r="AX120" s="30">
        <v>42</v>
      </c>
      <c r="AY120" s="30">
        <v>16</v>
      </c>
      <c r="AZ120" s="30" t="s">
        <v>245</v>
      </c>
      <c r="BA120" s="30" t="s">
        <v>245</v>
      </c>
      <c r="BB120" s="30" t="s">
        <v>245</v>
      </c>
      <c r="BC120" s="30" t="s">
        <v>245</v>
      </c>
      <c r="BD120" s="30">
        <v>1913</v>
      </c>
      <c r="BE120" s="30">
        <v>1933</v>
      </c>
      <c r="BF120" s="30" t="s">
        <v>245</v>
      </c>
      <c r="BG120" s="30" t="s">
        <v>1225</v>
      </c>
      <c r="BH120" s="30" t="str">
        <f>HYPERLINK("http://dx.doi.org/10.1080/00103624.2011.591467","http://dx.doi.org/10.1080/00103624.2011.591467")</f>
        <v>http://dx.doi.org/10.1080/00103624.2011.591467</v>
      </c>
      <c r="BI120" s="30" t="s">
        <v>245</v>
      </c>
      <c r="BJ120" s="30" t="s">
        <v>245</v>
      </c>
      <c r="BK120" s="30" t="s">
        <v>245</v>
      </c>
      <c r="BL120" s="30" t="s">
        <v>245</v>
      </c>
      <c r="BM120" s="30" t="s">
        <v>245</v>
      </c>
      <c r="BN120" s="30" t="s">
        <v>245</v>
      </c>
      <c r="BO120" s="30" t="s">
        <v>245</v>
      </c>
      <c r="BP120" s="30" t="s">
        <v>245</v>
      </c>
      <c r="BQ120" s="30" t="s">
        <v>245</v>
      </c>
      <c r="BR120" s="30" t="s">
        <v>245</v>
      </c>
      <c r="BS120" s="30" t="s">
        <v>245</v>
      </c>
      <c r="BT120" s="30" t="s">
        <v>245</v>
      </c>
      <c r="BU120" s="30" t="s">
        <v>1226</v>
      </c>
      <c r="BV120" s="30" t="str">
        <f>HYPERLINK("https%3A%2F%2Fwww.webofscience.com%2Fwos%2Fwoscc%2Ffull-record%2FWOS:000299735100002","View Full Record in Web of Science")</f>
        <v>View Full Record in Web of Science</v>
      </c>
    </row>
    <row r="121" spans="1:74" x14ac:dyDescent="0.2">
      <c r="A121" s="30" t="s">
        <v>243</v>
      </c>
      <c r="B121" s="30" t="s">
        <v>1227</v>
      </c>
      <c r="C121" s="30" t="s">
        <v>245</v>
      </c>
      <c r="D121" s="30" t="s">
        <v>245</v>
      </c>
      <c r="E121" s="30" t="s">
        <v>245</v>
      </c>
      <c r="F121" s="30" t="s">
        <v>1228</v>
      </c>
      <c r="G121" s="30" t="s">
        <v>245</v>
      </c>
      <c r="H121" s="30" t="s">
        <v>245</v>
      </c>
      <c r="I121" s="30" t="s">
        <v>2826</v>
      </c>
      <c r="K121" s="30" t="s">
        <v>1229</v>
      </c>
      <c r="L121" s="30" t="s">
        <v>402</v>
      </c>
      <c r="M121" s="30" t="s">
        <v>245</v>
      </c>
      <c r="N121" s="30" t="s">
        <v>245</v>
      </c>
      <c r="O121" s="30" t="s">
        <v>245</v>
      </c>
      <c r="P121" s="30" t="s">
        <v>245</v>
      </c>
      <c r="Q121" s="30" t="s">
        <v>245</v>
      </c>
      <c r="R121" s="30" t="s">
        <v>245</v>
      </c>
      <c r="S121" s="30" t="s">
        <v>245</v>
      </c>
      <c r="T121" s="30" t="s">
        <v>245</v>
      </c>
      <c r="U121" s="30" t="s">
        <v>245</v>
      </c>
      <c r="V121" s="30" t="s">
        <v>245</v>
      </c>
      <c r="W121" s="30" t="s">
        <v>245</v>
      </c>
      <c r="X121" s="30" t="s">
        <v>245</v>
      </c>
      <c r="Y121" s="30" t="s">
        <v>245</v>
      </c>
      <c r="Z121" s="30" t="s">
        <v>245</v>
      </c>
      <c r="AA121" s="30" t="s">
        <v>245</v>
      </c>
      <c r="AB121" s="30" t="s">
        <v>245</v>
      </c>
      <c r="AC121" s="30" t="s">
        <v>245</v>
      </c>
      <c r="AD121" s="30" t="s">
        <v>1230</v>
      </c>
      <c r="AE121" s="30" t="s">
        <v>245</v>
      </c>
      <c r="AF121" s="30" t="s">
        <v>245</v>
      </c>
      <c r="AG121" s="30" t="s">
        <v>245</v>
      </c>
      <c r="AH121" s="30" t="s">
        <v>245</v>
      </c>
      <c r="AI121" s="30" t="s">
        <v>245</v>
      </c>
      <c r="AJ121" s="30" t="s">
        <v>245</v>
      </c>
      <c r="AK121" s="30" t="s">
        <v>245</v>
      </c>
      <c r="AL121" s="30" t="s">
        <v>245</v>
      </c>
      <c r="AM121" s="30" t="s">
        <v>245</v>
      </c>
      <c r="AN121" s="30" t="s">
        <v>245</v>
      </c>
      <c r="AO121" s="30" t="s">
        <v>245</v>
      </c>
      <c r="AP121" s="30" t="s">
        <v>245</v>
      </c>
      <c r="AQ121" s="30" t="s">
        <v>405</v>
      </c>
      <c r="AR121" s="30" t="s">
        <v>406</v>
      </c>
      <c r="AS121" s="30" t="s">
        <v>245</v>
      </c>
      <c r="AT121" s="30" t="s">
        <v>245</v>
      </c>
      <c r="AU121" s="30" t="s">
        <v>245</v>
      </c>
      <c r="AV121" s="30" t="s">
        <v>454</v>
      </c>
      <c r="AW121" s="30">
        <v>2015</v>
      </c>
      <c r="AX121" s="30">
        <v>15</v>
      </c>
      <c r="AY121" s="30">
        <v>9</v>
      </c>
      <c r="AZ121" s="30" t="s">
        <v>245</v>
      </c>
      <c r="BA121" s="30" t="s">
        <v>245</v>
      </c>
      <c r="BB121" s="30" t="s">
        <v>245</v>
      </c>
      <c r="BC121" s="30" t="s">
        <v>245</v>
      </c>
      <c r="BD121" s="30">
        <v>1968</v>
      </c>
      <c r="BE121" s="30">
        <v>1976</v>
      </c>
      <c r="BF121" s="30" t="s">
        <v>245</v>
      </c>
      <c r="BG121" s="30" t="s">
        <v>1231</v>
      </c>
      <c r="BH121" s="30" t="str">
        <f>HYPERLINK("http://dx.doi.org/10.1007/s11368-015-1138-y","http://dx.doi.org/10.1007/s11368-015-1138-y")</f>
        <v>http://dx.doi.org/10.1007/s11368-015-1138-y</v>
      </c>
      <c r="BI121" s="30" t="s">
        <v>245</v>
      </c>
      <c r="BJ121" s="30" t="s">
        <v>245</v>
      </c>
      <c r="BK121" s="30" t="s">
        <v>245</v>
      </c>
      <c r="BL121" s="30" t="s">
        <v>245</v>
      </c>
      <c r="BM121" s="30" t="s">
        <v>245</v>
      </c>
      <c r="BN121" s="30" t="s">
        <v>245</v>
      </c>
      <c r="BO121" s="30" t="s">
        <v>245</v>
      </c>
      <c r="BP121" s="30" t="s">
        <v>245</v>
      </c>
      <c r="BQ121" s="30" t="s">
        <v>245</v>
      </c>
      <c r="BR121" s="30" t="s">
        <v>245</v>
      </c>
      <c r="BS121" s="30" t="s">
        <v>245</v>
      </c>
      <c r="BT121" s="30" t="s">
        <v>245</v>
      </c>
      <c r="BU121" s="30" t="s">
        <v>1232</v>
      </c>
      <c r="BV121" s="30" t="str">
        <f>HYPERLINK("https%3A%2F%2Fwww.webofscience.com%2Fwos%2Fwoscc%2Ffull-record%2FWOS:000359938600013","View Full Record in Web of Science")</f>
        <v>View Full Record in Web of Science</v>
      </c>
    </row>
    <row r="122" spans="1:74" x14ac:dyDescent="0.2">
      <c r="A122" s="30" t="s">
        <v>243</v>
      </c>
      <c r="B122" s="30" t="s">
        <v>1233</v>
      </c>
      <c r="C122" s="30" t="s">
        <v>245</v>
      </c>
      <c r="D122" s="30" t="s">
        <v>245</v>
      </c>
      <c r="E122" s="30" t="s">
        <v>245</v>
      </c>
      <c r="F122" s="30" t="s">
        <v>1234</v>
      </c>
      <c r="G122" s="30" t="s">
        <v>245</v>
      </c>
      <c r="H122" s="30" t="s">
        <v>245</v>
      </c>
      <c r="I122" s="30" t="s">
        <v>2821</v>
      </c>
      <c r="K122" s="30" t="s">
        <v>1235</v>
      </c>
      <c r="L122" s="30" t="s">
        <v>413</v>
      </c>
      <c r="M122" s="30" t="s">
        <v>245</v>
      </c>
      <c r="N122" s="30" t="s">
        <v>245</v>
      </c>
      <c r="O122" s="30" t="s">
        <v>245</v>
      </c>
      <c r="P122" s="30" t="s">
        <v>245</v>
      </c>
      <c r="Q122" s="30" t="s">
        <v>245</v>
      </c>
      <c r="R122" s="30" t="s">
        <v>245</v>
      </c>
      <c r="S122" s="30" t="s">
        <v>245</v>
      </c>
      <c r="T122" s="30" t="s">
        <v>245</v>
      </c>
      <c r="U122" s="30" t="s">
        <v>245</v>
      </c>
      <c r="V122" s="30" t="s">
        <v>245</v>
      </c>
      <c r="W122" s="30" t="s">
        <v>245</v>
      </c>
      <c r="X122" s="30" t="s">
        <v>245</v>
      </c>
      <c r="Y122" s="30" t="s">
        <v>245</v>
      </c>
      <c r="Z122" s="30" t="s">
        <v>245</v>
      </c>
      <c r="AA122" s="30" t="s">
        <v>245</v>
      </c>
      <c r="AB122" s="30" t="s">
        <v>245</v>
      </c>
      <c r="AC122" s="30" t="s">
        <v>1236</v>
      </c>
      <c r="AD122" s="30" t="s">
        <v>245</v>
      </c>
      <c r="AE122" s="30" t="s">
        <v>245</v>
      </c>
      <c r="AF122" s="30" t="s">
        <v>245</v>
      </c>
      <c r="AG122" s="30" t="s">
        <v>245</v>
      </c>
      <c r="AH122" s="30" t="s">
        <v>245</v>
      </c>
      <c r="AI122" s="30" t="s">
        <v>245</v>
      </c>
      <c r="AJ122" s="30" t="s">
        <v>245</v>
      </c>
      <c r="AK122" s="30" t="s">
        <v>245</v>
      </c>
      <c r="AL122" s="30" t="s">
        <v>245</v>
      </c>
      <c r="AM122" s="30" t="s">
        <v>245</v>
      </c>
      <c r="AN122" s="30" t="s">
        <v>245</v>
      </c>
      <c r="AO122" s="30" t="s">
        <v>245</v>
      </c>
      <c r="AP122" s="30" t="s">
        <v>245</v>
      </c>
      <c r="AQ122" s="30" t="s">
        <v>416</v>
      </c>
      <c r="AR122" s="30" t="s">
        <v>417</v>
      </c>
      <c r="AS122" s="30" t="s">
        <v>245</v>
      </c>
      <c r="AT122" s="30" t="s">
        <v>245</v>
      </c>
      <c r="AU122" s="30" t="s">
        <v>245</v>
      </c>
      <c r="AV122" s="30" t="s">
        <v>1237</v>
      </c>
      <c r="AW122" s="30">
        <v>2017</v>
      </c>
      <c r="AX122" s="30">
        <v>584</v>
      </c>
      <c r="AY122" s="30" t="s">
        <v>245</v>
      </c>
      <c r="AZ122" s="30" t="s">
        <v>245</v>
      </c>
      <c r="BA122" s="30" t="s">
        <v>245</v>
      </c>
      <c r="BB122" s="30" t="s">
        <v>245</v>
      </c>
      <c r="BC122" s="30" t="s">
        <v>245</v>
      </c>
      <c r="BD122" s="30">
        <v>776</v>
      </c>
      <c r="BE122" s="30">
        <v>782</v>
      </c>
      <c r="BF122" s="30" t="s">
        <v>245</v>
      </c>
      <c r="BG122" s="30" t="s">
        <v>1238</v>
      </c>
      <c r="BH122" s="30" t="str">
        <f>HYPERLINK("http://dx.doi.org/10.1016/j.scitotenv.2017.01.115","http://dx.doi.org/10.1016/j.scitotenv.2017.01.115")</f>
        <v>http://dx.doi.org/10.1016/j.scitotenv.2017.01.115</v>
      </c>
      <c r="BI122" s="30" t="s">
        <v>245</v>
      </c>
      <c r="BJ122" s="30" t="s">
        <v>245</v>
      </c>
      <c r="BK122" s="30" t="s">
        <v>245</v>
      </c>
      <c r="BL122" s="30" t="s">
        <v>245</v>
      </c>
      <c r="BM122" s="30" t="s">
        <v>245</v>
      </c>
      <c r="BN122" s="30" t="s">
        <v>245</v>
      </c>
      <c r="BO122" s="30" t="s">
        <v>245</v>
      </c>
      <c r="BP122" s="30">
        <v>28131448</v>
      </c>
      <c r="BQ122" s="30" t="s">
        <v>245</v>
      </c>
      <c r="BR122" s="30" t="s">
        <v>245</v>
      </c>
      <c r="BS122" s="30" t="s">
        <v>245</v>
      </c>
      <c r="BT122" s="30" t="s">
        <v>245</v>
      </c>
      <c r="BU122" s="30" t="s">
        <v>1239</v>
      </c>
      <c r="BV122" s="30" t="str">
        <f>HYPERLINK("https%3A%2F%2Fwww.webofscience.com%2Fwos%2Fwoscc%2Ffull-record%2FWOS:000399358500075","View Full Record in Web of Science")</f>
        <v>View Full Record in Web of Science</v>
      </c>
    </row>
    <row r="123" spans="1:74" x14ac:dyDescent="0.2">
      <c r="A123" s="30" t="s">
        <v>243</v>
      </c>
      <c r="B123" s="30" t="s">
        <v>1240</v>
      </c>
      <c r="C123" s="30" t="s">
        <v>245</v>
      </c>
      <c r="D123" s="30" t="s">
        <v>245</v>
      </c>
      <c r="E123" s="30" t="s">
        <v>245</v>
      </c>
      <c r="F123" s="30" t="s">
        <v>1241</v>
      </c>
      <c r="G123" s="30" t="s">
        <v>245</v>
      </c>
      <c r="H123" s="30" t="s">
        <v>245</v>
      </c>
      <c r="I123" s="30" t="s">
        <v>2821</v>
      </c>
      <c r="K123" s="30" t="s">
        <v>1242</v>
      </c>
      <c r="L123" s="30" t="s">
        <v>1243</v>
      </c>
      <c r="M123" s="30" t="s">
        <v>245</v>
      </c>
      <c r="N123" s="30" t="s">
        <v>245</v>
      </c>
      <c r="O123" s="30" t="s">
        <v>245</v>
      </c>
      <c r="P123" s="30" t="s">
        <v>245</v>
      </c>
      <c r="Q123" s="30" t="s">
        <v>245</v>
      </c>
      <c r="R123" s="30" t="s">
        <v>245</v>
      </c>
      <c r="S123" s="30" t="s">
        <v>245</v>
      </c>
      <c r="T123" s="30" t="s">
        <v>245</v>
      </c>
      <c r="U123" s="30" t="s">
        <v>245</v>
      </c>
      <c r="V123" s="30" t="s">
        <v>245</v>
      </c>
      <c r="W123" s="30" t="s">
        <v>245</v>
      </c>
      <c r="X123" s="30" t="s">
        <v>245</v>
      </c>
      <c r="Y123" s="30" t="s">
        <v>245</v>
      </c>
      <c r="Z123" s="30" t="s">
        <v>245</v>
      </c>
      <c r="AA123" s="30" t="s">
        <v>245</v>
      </c>
      <c r="AB123" s="30" t="s">
        <v>245</v>
      </c>
      <c r="AC123" s="30" t="s">
        <v>1244</v>
      </c>
      <c r="AD123" s="30" t="s">
        <v>1245</v>
      </c>
      <c r="AE123" s="30" t="s">
        <v>245</v>
      </c>
      <c r="AF123" s="30" t="s">
        <v>245</v>
      </c>
      <c r="AG123" s="30" t="s">
        <v>245</v>
      </c>
      <c r="AH123" s="30" t="s">
        <v>245</v>
      </c>
      <c r="AI123" s="30" t="s">
        <v>245</v>
      </c>
      <c r="AJ123" s="30" t="s">
        <v>245</v>
      </c>
      <c r="AK123" s="30" t="s">
        <v>245</v>
      </c>
      <c r="AL123" s="30" t="s">
        <v>245</v>
      </c>
      <c r="AM123" s="30" t="s">
        <v>245</v>
      </c>
      <c r="AN123" s="30" t="s">
        <v>245</v>
      </c>
      <c r="AO123" s="30" t="s">
        <v>245</v>
      </c>
      <c r="AP123" s="30" t="s">
        <v>245</v>
      </c>
      <c r="AQ123" s="30" t="s">
        <v>1246</v>
      </c>
      <c r="AR123" s="30" t="s">
        <v>1247</v>
      </c>
      <c r="AS123" s="30" t="s">
        <v>245</v>
      </c>
      <c r="AT123" s="30" t="s">
        <v>245</v>
      </c>
      <c r="AU123" s="30" t="s">
        <v>245</v>
      </c>
      <c r="AV123" s="30" t="s">
        <v>265</v>
      </c>
      <c r="AW123" s="30">
        <v>2020</v>
      </c>
      <c r="AX123" s="30">
        <v>75</v>
      </c>
      <c r="AY123" s="30">
        <v>6</v>
      </c>
      <c r="AZ123" s="30" t="s">
        <v>245</v>
      </c>
      <c r="BA123" s="30" t="s">
        <v>245</v>
      </c>
      <c r="BB123" s="30" t="s">
        <v>298</v>
      </c>
      <c r="BC123" s="30" t="s">
        <v>245</v>
      </c>
      <c r="BD123" s="30">
        <v>873</v>
      </c>
      <c r="BE123" s="30">
        <v>884</v>
      </c>
      <c r="BF123" s="30" t="s">
        <v>245</v>
      </c>
      <c r="BG123" s="30" t="s">
        <v>1248</v>
      </c>
      <c r="BH123" s="30" t="str">
        <f>HYPERLINK("http://dx.doi.org/10.2478/s11756-019-00335-7","http://dx.doi.org/10.2478/s11756-019-00335-7")</f>
        <v>http://dx.doi.org/10.2478/s11756-019-00335-7</v>
      </c>
      <c r="BI123" s="30" t="s">
        <v>245</v>
      </c>
      <c r="BJ123" s="30" t="s">
        <v>245</v>
      </c>
      <c r="BK123" s="30" t="s">
        <v>245</v>
      </c>
      <c r="BL123" s="30" t="s">
        <v>245</v>
      </c>
      <c r="BM123" s="30" t="s">
        <v>245</v>
      </c>
      <c r="BN123" s="30" t="s">
        <v>245</v>
      </c>
      <c r="BO123" s="30" t="s">
        <v>245</v>
      </c>
      <c r="BP123" s="30" t="s">
        <v>245</v>
      </c>
      <c r="BQ123" s="30" t="s">
        <v>245</v>
      </c>
      <c r="BR123" s="30" t="s">
        <v>245</v>
      </c>
      <c r="BS123" s="30" t="s">
        <v>245</v>
      </c>
      <c r="BT123" s="30" t="s">
        <v>245</v>
      </c>
      <c r="BU123" s="30" t="s">
        <v>1249</v>
      </c>
      <c r="BV123" s="30" t="str">
        <f>HYPERLINK("https%3A%2F%2Fwww.webofscience.com%2Fwos%2Fwoscc%2Ffull-record%2FWOS:000538246000010","View Full Record in Web of Science")</f>
        <v>View Full Record in Web of Science</v>
      </c>
    </row>
    <row r="124" spans="1:74" x14ac:dyDescent="0.2">
      <c r="A124" s="30" t="s">
        <v>243</v>
      </c>
      <c r="B124" s="30" t="s">
        <v>1250</v>
      </c>
      <c r="C124" s="30" t="s">
        <v>245</v>
      </c>
      <c r="D124" s="30" t="s">
        <v>245</v>
      </c>
      <c r="E124" s="30" t="s">
        <v>245</v>
      </c>
      <c r="F124" s="30" t="s">
        <v>1251</v>
      </c>
      <c r="G124" s="30" t="s">
        <v>245</v>
      </c>
      <c r="H124" s="30" t="s">
        <v>245</v>
      </c>
      <c r="I124" s="30" t="s">
        <v>2821</v>
      </c>
      <c r="K124" s="30" t="s">
        <v>1252</v>
      </c>
      <c r="L124" s="30" t="s">
        <v>541</v>
      </c>
      <c r="M124" s="30" t="s">
        <v>245</v>
      </c>
      <c r="N124" s="30" t="s">
        <v>245</v>
      </c>
      <c r="O124" s="30" t="s">
        <v>245</v>
      </c>
      <c r="P124" s="30" t="s">
        <v>245</v>
      </c>
      <c r="Q124" s="30" t="s">
        <v>245</v>
      </c>
      <c r="R124" s="30" t="s">
        <v>245</v>
      </c>
      <c r="S124" s="30" t="s">
        <v>245</v>
      </c>
      <c r="T124" s="30" t="s">
        <v>245</v>
      </c>
      <c r="U124" s="30" t="s">
        <v>245</v>
      </c>
      <c r="V124" s="30" t="s">
        <v>245</v>
      </c>
      <c r="W124" s="30" t="s">
        <v>245</v>
      </c>
      <c r="X124" s="30" t="s">
        <v>245</v>
      </c>
      <c r="Y124" s="30" t="s">
        <v>245</v>
      </c>
      <c r="Z124" s="30" t="s">
        <v>245</v>
      </c>
      <c r="AA124" s="30" t="s">
        <v>245</v>
      </c>
      <c r="AB124" s="30" t="s">
        <v>245</v>
      </c>
      <c r="AC124" s="30" t="s">
        <v>1253</v>
      </c>
      <c r="AD124" s="30" t="s">
        <v>1254</v>
      </c>
      <c r="AE124" s="30" t="s">
        <v>245</v>
      </c>
      <c r="AF124" s="30" t="s">
        <v>245</v>
      </c>
      <c r="AG124" s="30" t="s">
        <v>245</v>
      </c>
      <c r="AH124" s="30" t="s">
        <v>245</v>
      </c>
      <c r="AI124" s="30" t="s">
        <v>245</v>
      </c>
      <c r="AJ124" s="30" t="s">
        <v>245</v>
      </c>
      <c r="AK124" s="30" t="s">
        <v>245</v>
      </c>
      <c r="AL124" s="30" t="s">
        <v>245</v>
      </c>
      <c r="AM124" s="30" t="s">
        <v>245</v>
      </c>
      <c r="AN124" s="30" t="s">
        <v>245</v>
      </c>
      <c r="AO124" s="30" t="s">
        <v>245</v>
      </c>
      <c r="AP124" s="30" t="s">
        <v>245</v>
      </c>
      <c r="AQ124" s="30" t="s">
        <v>544</v>
      </c>
      <c r="AR124" s="30" t="s">
        <v>545</v>
      </c>
      <c r="AS124" s="30" t="s">
        <v>245</v>
      </c>
      <c r="AT124" s="30" t="s">
        <v>245</v>
      </c>
      <c r="AU124" s="30" t="s">
        <v>245</v>
      </c>
      <c r="AV124" s="30" t="s">
        <v>635</v>
      </c>
      <c r="AW124" s="30">
        <v>2020</v>
      </c>
      <c r="AX124" s="30">
        <v>301</v>
      </c>
      <c r="AY124" s="30" t="s">
        <v>245</v>
      </c>
      <c r="AZ124" s="30" t="s">
        <v>245</v>
      </c>
      <c r="BA124" s="30" t="s">
        <v>245</v>
      </c>
      <c r="BB124" s="30" t="s">
        <v>245</v>
      </c>
      <c r="BC124" s="30" t="s">
        <v>245</v>
      </c>
      <c r="BD124" s="30" t="s">
        <v>245</v>
      </c>
      <c r="BE124" s="30" t="s">
        <v>245</v>
      </c>
      <c r="BF124" s="30">
        <v>107029</v>
      </c>
      <c r="BG124" s="30" t="s">
        <v>1255</v>
      </c>
      <c r="BH124" s="30" t="str">
        <f>HYPERLINK("http://dx.doi.org/10.1016/j.agee.2020.107029","http://dx.doi.org/10.1016/j.agee.2020.107029")</f>
        <v>http://dx.doi.org/10.1016/j.agee.2020.107029</v>
      </c>
      <c r="BI124" s="30" t="s">
        <v>245</v>
      </c>
      <c r="BJ124" s="30" t="s">
        <v>245</v>
      </c>
      <c r="BK124" s="30" t="s">
        <v>245</v>
      </c>
      <c r="BL124" s="30" t="s">
        <v>245</v>
      </c>
      <c r="BM124" s="30" t="s">
        <v>245</v>
      </c>
      <c r="BN124" s="30" t="s">
        <v>245</v>
      </c>
      <c r="BO124" s="30" t="s">
        <v>245</v>
      </c>
      <c r="BP124" s="30" t="s">
        <v>245</v>
      </c>
      <c r="BQ124" s="30" t="s">
        <v>245</v>
      </c>
      <c r="BR124" s="30" t="s">
        <v>245</v>
      </c>
      <c r="BS124" s="30" t="s">
        <v>245</v>
      </c>
      <c r="BT124" s="30" t="s">
        <v>245</v>
      </c>
      <c r="BU124" s="30" t="s">
        <v>1256</v>
      </c>
      <c r="BV124" s="30" t="str">
        <f>HYPERLINK("https%3A%2F%2Fwww.webofscience.com%2Fwos%2Fwoscc%2Ffull-record%2FWOS:000553393400018","View Full Record in Web of Science")</f>
        <v>View Full Record in Web of Science</v>
      </c>
    </row>
    <row r="125" spans="1:74" x14ac:dyDescent="0.2">
      <c r="A125" s="30" t="s">
        <v>243</v>
      </c>
      <c r="B125" s="30" t="s">
        <v>1257</v>
      </c>
      <c r="C125" s="30" t="s">
        <v>245</v>
      </c>
      <c r="D125" s="30" t="s">
        <v>245</v>
      </c>
      <c r="E125" s="30" t="s">
        <v>245</v>
      </c>
      <c r="F125" s="30" t="s">
        <v>1258</v>
      </c>
      <c r="G125" s="30" t="s">
        <v>245</v>
      </c>
      <c r="H125" s="30" t="s">
        <v>245</v>
      </c>
      <c r="I125" s="30" t="s">
        <v>2819</v>
      </c>
      <c r="K125" s="30" t="s">
        <v>1259</v>
      </c>
      <c r="L125" s="30" t="s">
        <v>282</v>
      </c>
      <c r="M125" s="30" t="s">
        <v>245</v>
      </c>
      <c r="N125" s="30" t="s">
        <v>245</v>
      </c>
      <c r="O125" s="30" t="s">
        <v>245</v>
      </c>
      <c r="P125" s="30" t="s">
        <v>245</v>
      </c>
      <c r="Q125" s="30" t="s">
        <v>245</v>
      </c>
      <c r="R125" s="30" t="s">
        <v>245</v>
      </c>
      <c r="S125" s="30" t="s">
        <v>245</v>
      </c>
      <c r="T125" s="30" t="s">
        <v>245</v>
      </c>
      <c r="U125" s="30" t="s">
        <v>245</v>
      </c>
      <c r="V125" s="30" t="s">
        <v>245</v>
      </c>
      <c r="W125" s="30" t="s">
        <v>245</v>
      </c>
      <c r="X125" s="30" t="s">
        <v>245</v>
      </c>
      <c r="Y125" s="30" t="s">
        <v>245</v>
      </c>
      <c r="Z125" s="30" t="s">
        <v>245</v>
      </c>
      <c r="AA125" s="30" t="s">
        <v>245</v>
      </c>
      <c r="AB125" s="30" t="s">
        <v>245</v>
      </c>
      <c r="AC125" s="30" t="s">
        <v>245</v>
      </c>
      <c r="AD125" s="30" t="s">
        <v>1260</v>
      </c>
      <c r="AE125" s="30" t="s">
        <v>245</v>
      </c>
      <c r="AF125" s="30" t="s">
        <v>245</v>
      </c>
      <c r="AG125" s="30" t="s">
        <v>245</v>
      </c>
      <c r="AH125" s="30" t="s">
        <v>245</v>
      </c>
      <c r="AI125" s="30" t="s">
        <v>245</v>
      </c>
      <c r="AJ125" s="30" t="s">
        <v>245</v>
      </c>
      <c r="AK125" s="30" t="s">
        <v>245</v>
      </c>
      <c r="AL125" s="30" t="s">
        <v>245</v>
      </c>
      <c r="AM125" s="30" t="s">
        <v>245</v>
      </c>
      <c r="AN125" s="30" t="s">
        <v>245</v>
      </c>
      <c r="AO125" s="30" t="s">
        <v>245</v>
      </c>
      <c r="AP125" s="30" t="s">
        <v>245</v>
      </c>
      <c r="AQ125" s="30" t="s">
        <v>285</v>
      </c>
      <c r="AR125" s="30" t="s">
        <v>370</v>
      </c>
      <c r="AS125" s="30" t="s">
        <v>245</v>
      </c>
      <c r="AT125" s="30" t="s">
        <v>245</v>
      </c>
      <c r="AU125" s="30" t="s">
        <v>245</v>
      </c>
      <c r="AV125" s="30" t="s">
        <v>354</v>
      </c>
      <c r="AW125" s="30">
        <v>2019</v>
      </c>
      <c r="AX125" s="30">
        <v>131</v>
      </c>
      <c r="AY125" s="30" t="s">
        <v>245</v>
      </c>
      <c r="AZ125" s="30" t="s">
        <v>245</v>
      </c>
      <c r="BA125" s="30" t="s">
        <v>245</v>
      </c>
      <c r="BB125" s="30" t="s">
        <v>245</v>
      </c>
      <c r="BC125" s="30" t="s">
        <v>245</v>
      </c>
      <c r="BD125" s="30">
        <v>44</v>
      </c>
      <c r="BE125" s="30">
        <v>53</v>
      </c>
      <c r="BF125" s="30" t="s">
        <v>245</v>
      </c>
      <c r="BG125" s="30" t="s">
        <v>1261</v>
      </c>
      <c r="BH125" s="30" t="str">
        <f>HYPERLINK("http://dx.doi.org/10.1016/j.soilbio.2018.12.023","http://dx.doi.org/10.1016/j.soilbio.2018.12.023")</f>
        <v>http://dx.doi.org/10.1016/j.soilbio.2018.12.023</v>
      </c>
      <c r="BI125" s="30" t="s">
        <v>245</v>
      </c>
      <c r="BJ125" s="30" t="s">
        <v>245</v>
      </c>
      <c r="BK125" s="30" t="s">
        <v>245</v>
      </c>
      <c r="BL125" s="30" t="s">
        <v>245</v>
      </c>
      <c r="BM125" s="30" t="s">
        <v>245</v>
      </c>
      <c r="BN125" s="30" t="s">
        <v>245</v>
      </c>
      <c r="BO125" s="30" t="s">
        <v>245</v>
      </c>
      <c r="BP125" s="30" t="s">
        <v>245</v>
      </c>
      <c r="BQ125" s="30" t="s">
        <v>245</v>
      </c>
      <c r="BR125" s="30" t="s">
        <v>245</v>
      </c>
      <c r="BS125" s="30" t="s">
        <v>245</v>
      </c>
      <c r="BT125" s="30" t="s">
        <v>245</v>
      </c>
      <c r="BU125" s="30" t="s">
        <v>1262</v>
      </c>
      <c r="BV125" s="30" t="str">
        <f>HYPERLINK("https%3A%2F%2Fwww.webofscience.com%2Fwos%2Fwoscc%2Ffull-record%2FWOS:000459841300006","View Full Record in Web of Science")</f>
        <v>View Full Record in Web of Science</v>
      </c>
    </row>
    <row r="126" spans="1:74" x14ac:dyDescent="0.2">
      <c r="A126" s="30" t="s">
        <v>243</v>
      </c>
      <c r="B126" s="30" t="s">
        <v>1263</v>
      </c>
      <c r="C126" s="30" t="s">
        <v>245</v>
      </c>
      <c r="D126" s="30" t="s">
        <v>245</v>
      </c>
      <c r="E126" s="30" t="s">
        <v>245</v>
      </c>
      <c r="F126" s="30" t="s">
        <v>1264</v>
      </c>
      <c r="G126" s="30" t="s">
        <v>245</v>
      </c>
      <c r="H126" s="30" t="s">
        <v>245</v>
      </c>
      <c r="I126" s="30" t="s">
        <v>2821</v>
      </c>
      <c r="K126" s="30" t="s">
        <v>1265</v>
      </c>
      <c r="L126" s="30" t="s">
        <v>765</v>
      </c>
      <c r="M126" s="30" t="s">
        <v>245</v>
      </c>
      <c r="N126" s="30" t="s">
        <v>245</v>
      </c>
      <c r="O126" s="30" t="s">
        <v>245</v>
      </c>
      <c r="P126" s="30" t="s">
        <v>245</v>
      </c>
      <c r="Q126" s="30" t="s">
        <v>245</v>
      </c>
      <c r="R126" s="30" t="s">
        <v>245</v>
      </c>
      <c r="S126" s="30" t="s">
        <v>245</v>
      </c>
      <c r="T126" s="30" t="s">
        <v>245</v>
      </c>
      <c r="U126" s="30" t="s">
        <v>245</v>
      </c>
      <c r="V126" s="30" t="s">
        <v>245</v>
      </c>
      <c r="W126" s="30" t="s">
        <v>245</v>
      </c>
      <c r="X126" s="30" t="s">
        <v>245</v>
      </c>
      <c r="Y126" s="30" t="s">
        <v>245</v>
      </c>
      <c r="Z126" s="30" t="s">
        <v>245</v>
      </c>
      <c r="AA126" s="30" t="s">
        <v>245</v>
      </c>
      <c r="AB126" s="30" t="s">
        <v>245</v>
      </c>
      <c r="AC126" s="30" t="s">
        <v>1266</v>
      </c>
      <c r="AD126" s="30" t="s">
        <v>1267</v>
      </c>
      <c r="AE126" s="30" t="s">
        <v>245</v>
      </c>
      <c r="AF126" s="30" t="s">
        <v>245</v>
      </c>
      <c r="AG126" s="30" t="s">
        <v>245</v>
      </c>
      <c r="AH126" s="30" t="s">
        <v>245</v>
      </c>
      <c r="AI126" s="30" t="s">
        <v>245</v>
      </c>
      <c r="AJ126" s="30" t="s">
        <v>245</v>
      </c>
      <c r="AK126" s="30" t="s">
        <v>245</v>
      </c>
      <c r="AL126" s="30" t="s">
        <v>245</v>
      </c>
      <c r="AM126" s="30" t="s">
        <v>245</v>
      </c>
      <c r="AN126" s="30" t="s">
        <v>245</v>
      </c>
      <c r="AO126" s="30" t="s">
        <v>245</v>
      </c>
      <c r="AP126" s="30" t="s">
        <v>245</v>
      </c>
      <c r="AQ126" s="30" t="s">
        <v>768</v>
      </c>
      <c r="AR126" s="30" t="s">
        <v>769</v>
      </c>
      <c r="AS126" s="30" t="s">
        <v>245</v>
      </c>
      <c r="AT126" s="30" t="s">
        <v>245</v>
      </c>
      <c r="AU126" s="30" t="s">
        <v>245</v>
      </c>
      <c r="AV126" s="30" t="s">
        <v>365</v>
      </c>
      <c r="AW126" s="30">
        <v>2012</v>
      </c>
      <c r="AX126" s="30">
        <v>47</v>
      </c>
      <c r="AY126" s="30" t="s">
        <v>245</v>
      </c>
      <c r="AZ126" s="30" t="s">
        <v>245</v>
      </c>
      <c r="BA126" s="30" t="s">
        <v>245</v>
      </c>
      <c r="BB126" s="30" t="s">
        <v>245</v>
      </c>
      <c r="BC126" s="30" t="s">
        <v>245</v>
      </c>
      <c r="BD126" s="30">
        <v>373</v>
      </c>
      <c r="BE126" s="30">
        <v>380</v>
      </c>
      <c r="BF126" s="30" t="s">
        <v>245</v>
      </c>
      <c r="BG126" s="30" t="s">
        <v>1268</v>
      </c>
      <c r="BH126" s="30" t="str">
        <f>HYPERLINK("http://dx.doi.org/10.1016/j.atmosenv.2011.10.052","http://dx.doi.org/10.1016/j.atmosenv.2011.10.052")</f>
        <v>http://dx.doi.org/10.1016/j.atmosenv.2011.10.052</v>
      </c>
      <c r="BI126" s="30" t="s">
        <v>245</v>
      </c>
      <c r="BJ126" s="30" t="s">
        <v>245</v>
      </c>
      <c r="BK126" s="30" t="s">
        <v>245</v>
      </c>
      <c r="BL126" s="30" t="s">
        <v>245</v>
      </c>
      <c r="BM126" s="30" t="s">
        <v>245</v>
      </c>
      <c r="BN126" s="30" t="s">
        <v>245</v>
      </c>
      <c r="BO126" s="30" t="s">
        <v>245</v>
      </c>
      <c r="BP126" s="30" t="s">
        <v>245</v>
      </c>
      <c r="BQ126" s="30" t="s">
        <v>245</v>
      </c>
      <c r="BR126" s="30" t="s">
        <v>245</v>
      </c>
      <c r="BS126" s="30" t="s">
        <v>245</v>
      </c>
      <c r="BT126" s="30" t="s">
        <v>245</v>
      </c>
      <c r="BU126" s="30" t="s">
        <v>1269</v>
      </c>
      <c r="BV126" s="30" t="str">
        <f>HYPERLINK("https%3A%2F%2Fwww.webofscience.com%2Fwos%2Fwoscc%2Ffull-record%2FWOS:000301157700042","View Full Record in Web of Science")</f>
        <v>View Full Record in Web of Science</v>
      </c>
    </row>
    <row r="127" spans="1:74" x14ac:dyDescent="0.2">
      <c r="A127" s="30" t="s">
        <v>243</v>
      </c>
      <c r="B127" s="30" t="s">
        <v>1270</v>
      </c>
      <c r="C127" s="30" t="s">
        <v>245</v>
      </c>
      <c r="D127" s="30" t="s">
        <v>245</v>
      </c>
      <c r="E127" s="30" t="s">
        <v>245</v>
      </c>
      <c r="F127" s="30" t="s">
        <v>1270</v>
      </c>
      <c r="G127" s="30" t="s">
        <v>245</v>
      </c>
      <c r="H127" s="30" t="s">
        <v>245</v>
      </c>
      <c r="I127" s="30" t="s">
        <v>2819</v>
      </c>
      <c r="K127" s="30" t="s">
        <v>1271</v>
      </c>
      <c r="L127" s="30" t="s">
        <v>304</v>
      </c>
      <c r="M127" s="30" t="s">
        <v>245</v>
      </c>
      <c r="N127" s="30" t="s">
        <v>245</v>
      </c>
      <c r="O127" s="30" t="s">
        <v>245</v>
      </c>
      <c r="P127" s="30" t="s">
        <v>245</v>
      </c>
      <c r="Q127" s="30" t="s">
        <v>1272</v>
      </c>
      <c r="R127" s="30" t="s">
        <v>1273</v>
      </c>
      <c r="S127" s="30" t="s">
        <v>1274</v>
      </c>
      <c r="T127" s="30" t="s">
        <v>245</v>
      </c>
      <c r="U127" s="30" t="s">
        <v>245</v>
      </c>
      <c r="V127" s="30" t="s">
        <v>245</v>
      </c>
      <c r="W127" s="30" t="s">
        <v>245</v>
      </c>
      <c r="X127" s="30" t="s">
        <v>245</v>
      </c>
      <c r="Y127" s="30" t="s">
        <v>245</v>
      </c>
      <c r="Z127" s="30" t="s">
        <v>245</v>
      </c>
      <c r="AA127" s="30" t="s">
        <v>245</v>
      </c>
      <c r="AB127" s="30" t="s">
        <v>245</v>
      </c>
      <c r="AC127" s="30" t="s">
        <v>1275</v>
      </c>
      <c r="AD127" s="30" t="s">
        <v>245</v>
      </c>
      <c r="AE127" s="30" t="s">
        <v>245</v>
      </c>
      <c r="AF127" s="30" t="s">
        <v>245</v>
      </c>
      <c r="AG127" s="30" t="s">
        <v>245</v>
      </c>
      <c r="AH127" s="30" t="s">
        <v>245</v>
      </c>
      <c r="AI127" s="30" t="s">
        <v>245</v>
      </c>
      <c r="AJ127" s="30" t="s">
        <v>245</v>
      </c>
      <c r="AK127" s="30" t="s">
        <v>245</v>
      </c>
      <c r="AL127" s="30" t="s">
        <v>245</v>
      </c>
      <c r="AM127" s="30" t="s">
        <v>245</v>
      </c>
      <c r="AN127" s="30" t="s">
        <v>245</v>
      </c>
      <c r="AO127" s="30" t="s">
        <v>245</v>
      </c>
      <c r="AP127" s="30" t="s">
        <v>245</v>
      </c>
      <c r="AQ127" s="30" t="s">
        <v>307</v>
      </c>
      <c r="AR127" s="30" t="s">
        <v>245</v>
      </c>
      <c r="AS127" s="30" t="s">
        <v>245</v>
      </c>
      <c r="AT127" s="30" t="s">
        <v>245</v>
      </c>
      <c r="AU127" s="30" t="s">
        <v>245</v>
      </c>
      <c r="AV127" s="30" t="s">
        <v>481</v>
      </c>
      <c r="AW127" s="30">
        <v>2004</v>
      </c>
      <c r="AX127" s="30">
        <v>50</v>
      </c>
      <c r="AY127" s="30">
        <v>6</v>
      </c>
      <c r="AZ127" s="30" t="s">
        <v>245</v>
      </c>
      <c r="BA127" s="30" t="s">
        <v>245</v>
      </c>
      <c r="BB127" s="30" t="s">
        <v>245</v>
      </c>
      <c r="BC127" s="30" t="s">
        <v>245</v>
      </c>
      <c r="BD127" s="30">
        <v>831</v>
      </c>
      <c r="BE127" s="30">
        <v>837</v>
      </c>
      <c r="BF127" s="30" t="s">
        <v>245</v>
      </c>
      <c r="BG127" s="30" t="s">
        <v>1276</v>
      </c>
      <c r="BH127" s="30" t="str">
        <f>HYPERLINK("http://dx.doi.org/10.1080/00380768.2004.10408543","http://dx.doi.org/10.1080/00380768.2004.10408543")</f>
        <v>http://dx.doi.org/10.1080/00380768.2004.10408543</v>
      </c>
      <c r="BI127" s="30" t="s">
        <v>245</v>
      </c>
      <c r="BJ127" s="30" t="s">
        <v>245</v>
      </c>
      <c r="BK127" s="30" t="s">
        <v>245</v>
      </c>
      <c r="BL127" s="30" t="s">
        <v>245</v>
      </c>
      <c r="BM127" s="30" t="s">
        <v>245</v>
      </c>
      <c r="BN127" s="30" t="s">
        <v>245</v>
      </c>
      <c r="BO127" s="30" t="s">
        <v>245</v>
      </c>
      <c r="BP127" s="30" t="s">
        <v>245</v>
      </c>
      <c r="BQ127" s="30" t="s">
        <v>245</v>
      </c>
      <c r="BR127" s="30" t="s">
        <v>245</v>
      </c>
      <c r="BS127" s="30" t="s">
        <v>245</v>
      </c>
      <c r="BT127" s="30" t="s">
        <v>245</v>
      </c>
      <c r="BU127" s="30" t="s">
        <v>1277</v>
      </c>
      <c r="BV127" s="30" t="str">
        <f>HYPERLINK("https%3A%2F%2Fwww.webofscience.com%2Fwos%2Fwoscc%2Ffull-record%2FWOS:000225652700007","View Full Record in Web of Science")</f>
        <v>View Full Record in Web of Science</v>
      </c>
    </row>
    <row r="128" spans="1:74" x14ac:dyDescent="0.2">
      <c r="A128" s="30" t="s">
        <v>243</v>
      </c>
      <c r="B128" s="30" t="s">
        <v>1278</v>
      </c>
      <c r="C128" s="30" t="s">
        <v>245</v>
      </c>
      <c r="D128" s="30" t="s">
        <v>245</v>
      </c>
      <c r="E128" s="30" t="s">
        <v>245</v>
      </c>
      <c r="F128" s="30" t="s">
        <v>1279</v>
      </c>
      <c r="G128" s="30" t="s">
        <v>245</v>
      </c>
      <c r="H128" s="30" t="s">
        <v>245</v>
      </c>
      <c r="I128" s="30" t="s">
        <v>2823</v>
      </c>
      <c r="K128" s="30" t="s">
        <v>1280</v>
      </c>
      <c r="L128" s="30" t="s">
        <v>304</v>
      </c>
      <c r="M128" s="30" t="s">
        <v>245</v>
      </c>
      <c r="N128" s="30" t="s">
        <v>245</v>
      </c>
      <c r="O128" s="30" t="s">
        <v>245</v>
      </c>
      <c r="P128" s="30" t="s">
        <v>245</v>
      </c>
      <c r="Q128" s="30" t="s">
        <v>245</v>
      </c>
      <c r="R128" s="30" t="s">
        <v>245</v>
      </c>
      <c r="S128" s="30" t="s">
        <v>245</v>
      </c>
      <c r="T128" s="30" t="s">
        <v>245</v>
      </c>
      <c r="U128" s="30" t="s">
        <v>245</v>
      </c>
      <c r="V128" s="30" t="s">
        <v>245</v>
      </c>
      <c r="W128" s="30" t="s">
        <v>245</v>
      </c>
      <c r="X128" s="30" t="s">
        <v>245</v>
      </c>
      <c r="Y128" s="30" t="s">
        <v>245</v>
      </c>
      <c r="Z128" s="30" t="s">
        <v>245</v>
      </c>
      <c r="AA128" s="30" t="s">
        <v>245</v>
      </c>
      <c r="AB128" s="30" t="s">
        <v>245</v>
      </c>
      <c r="AC128" s="30" t="s">
        <v>1281</v>
      </c>
      <c r="AD128" s="30" t="s">
        <v>245</v>
      </c>
      <c r="AE128" s="30" t="s">
        <v>245</v>
      </c>
      <c r="AF128" s="30" t="s">
        <v>245</v>
      </c>
      <c r="AG128" s="30" t="s">
        <v>245</v>
      </c>
      <c r="AH128" s="30" t="s">
        <v>245</v>
      </c>
      <c r="AI128" s="30" t="s">
        <v>245</v>
      </c>
      <c r="AJ128" s="30" t="s">
        <v>245</v>
      </c>
      <c r="AK128" s="30" t="s">
        <v>245</v>
      </c>
      <c r="AL128" s="30" t="s">
        <v>245</v>
      </c>
      <c r="AM128" s="30" t="s">
        <v>245</v>
      </c>
      <c r="AN128" s="30" t="s">
        <v>245</v>
      </c>
      <c r="AO128" s="30" t="s">
        <v>245</v>
      </c>
      <c r="AP128" s="30" t="s">
        <v>245</v>
      </c>
      <c r="AQ128" s="30" t="s">
        <v>307</v>
      </c>
      <c r="AR128" s="30" t="s">
        <v>308</v>
      </c>
      <c r="AS128" s="30" t="s">
        <v>245</v>
      </c>
      <c r="AT128" s="30" t="s">
        <v>245</v>
      </c>
      <c r="AU128" s="30" t="s">
        <v>245</v>
      </c>
      <c r="AV128" s="30" t="s">
        <v>743</v>
      </c>
      <c r="AW128" s="30">
        <v>2020</v>
      </c>
      <c r="AX128" s="30">
        <v>66</v>
      </c>
      <c r="AY128" s="30">
        <v>1</v>
      </c>
      <c r="AZ128" s="30" t="s">
        <v>245</v>
      </c>
      <c r="BA128" s="30" t="s">
        <v>245</v>
      </c>
      <c r="BB128" s="30" t="s">
        <v>245</v>
      </c>
      <c r="BC128" s="30" t="s">
        <v>245</v>
      </c>
      <c r="BD128" s="30">
        <v>37</v>
      </c>
      <c r="BE128" s="30">
        <v>49</v>
      </c>
      <c r="BF128" s="30" t="s">
        <v>245</v>
      </c>
      <c r="BG128" s="30" t="s">
        <v>1282</v>
      </c>
      <c r="BH128" s="30" t="str">
        <f>HYPERLINK("http://dx.doi.org/10.1080/00380768.2019.1683890","http://dx.doi.org/10.1080/00380768.2019.1683890")</f>
        <v>http://dx.doi.org/10.1080/00380768.2019.1683890</v>
      </c>
      <c r="BI128" s="30" t="s">
        <v>245</v>
      </c>
      <c r="BJ128" s="30" t="s">
        <v>1283</v>
      </c>
      <c r="BK128" s="30" t="s">
        <v>245</v>
      </c>
      <c r="BL128" s="30" t="s">
        <v>245</v>
      </c>
      <c r="BM128" s="30" t="s">
        <v>245</v>
      </c>
      <c r="BN128" s="30" t="s">
        <v>245</v>
      </c>
      <c r="BO128" s="30" t="s">
        <v>245</v>
      </c>
      <c r="BP128" s="30" t="s">
        <v>245</v>
      </c>
      <c r="BQ128" s="30" t="s">
        <v>245</v>
      </c>
      <c r="BR128" s="30" t="s">
        <v>245</v>
      </c>
      <c r="BS128" s="30" t="s">
        <v>245</v>
      </c>
      <c r="BT128" s="30" t="s">
        <v>245</v>
      </c>
      <c r="BU128" s="30" t="s">
        <v>1284</v>
      </c>
      <c r="BV128" s="30" t="str">
        <f>HYPERLINK("https%3A%2F%2Fwww.webofscience.com%2Fwos%2Fwoscc%2Ffull-record%2FWOS:000493872700001","View Full Record in Web of Science")</f>
        <v>View Full Record in Web of Science</v>
      </c>
    </row>
    <row r="129" spans="1:74" x14ac:dyDescent="0.2">
      <c r="A129" s="30" t="s">
        <v>243</v>
      </c>
      <c r="B129" s="30" t="s">
        <v>1285</v>
      </c>
      <c r="C129" s="30" t="s">
        <v>245</v>
      </c>
      <c r="D129" s="30" t="s">
        <v>245</v>
      </c>
      <c r="E129" s="30" t="s">
        <v>245</v>
      </c>
      <c r="F129" s="30" t="s">
        <v>1286</v>
      </c>
      <c r="G129" s="30" t="s">
        <v>245</v>
      </c>
      <c r="H129" s="30" t="s">
        <v>245</v>
      </c>
      <c r="I129" s="30" t="s">
        <v>2821</v>
      </c>
      <c r="K129" s="30" t="s">
        <v>1287</v>
      </c>
      <c r="L129" s="30" t="s">
        <v>1288</v>
      </c>
      <c r="M129" s="30" t="s">
        <v>245</v>
      </c>
      <c r="N129" s="30" t="s">
        <v>245</v>
      </c>
      <c r="O129" s="30" t="s">
        <v>245</v>
      </c>
      <c r="P129" s="30" t="s">
        <v>245</v>
      </c>
      <c r="Q129" s="30" t="s">
        <v>245</v>
      </c>
      <c r="R129" s="30" t="s">
        <v>245</v>
      </c>
      <c r="S129" s="30" t="s">
        <v>245</v>
      </c>
      <c r="T129" s="30" t="s">
        <v>245</v>
      </c>
      <c r="U129" s="30" t="s">
        <v>245</v>
      </c>
      <c r="V129" s="30" t="s">
        <v>245</v>
      </c>
      <c r="W129" s="30" t="s">
        <v>245</v>
      </c>
      <c r="X129" s="30" t="s">
        <v>245</v>
      </c>
      <c r="Y129" s="30" t="s">
        <v>245</v>
      </c>
      <c r="Z129" s="30" t="s">
        <v>245</v>
      </c>
      <c r="AA129" s="30" t="s">
        <v>245</v>
      </c>
      <c r="AB129" s="30" t="s">
        <v>245</v>
      </c>
      <c r="AC129" s="30" t="s">
        <v>1289</v>
      </c>
      <c r="AD129" s="30" t="s">
        <v>1290</v>
      </c>
      <c r="AE129" s="30" t="s">
        <v>245</v>
      </c>
      <c r="AF129" s="30" t="s">
        <v>245</v>
      </c>
      <c r="AG129" s="30" t="s">
        <v>245</v>
      </c>
      <c r="AH129" s="30" t="s">
        <v>245</v>
      </c>
      <c r="AI129" s="30" t="s">
        <v>245</v>
      </c>
      <c r="AJ129" s="30" t="s">
        <v>245</v>
      </c>
      <c r="AK129" s="30" t="s">
        <v>245</v>
      </c>
      <c r="AL129" s="30" t="s">
        <v>245</v>
      </c>
      <c r="AM129" s="30" t="s">
        <v>245</v>
      </c>
      <c r="AN129" s="30" t="s">
        <v>245</v>
      </c>
      <c r="AO129" s="30" t="s">
        <v>245</v>
      </c>
      <c r="AP129" s="30" t="s">
        <v>245</v>
      </c>
      <c r="AQ129" s="30" t="s">
        <v>1291</v>
      </c>
      <c r="AR129" s="30" t="s">
        <v>1292</v>
      </c>
      <c r="AS129" s="30" t="s">
        <v>245</v>
      </c>
      <c r="AT129" s="30" t="s">
        <v>245</v>
      </c>
      <c r="AU129" s="30" t="s">
        <v>245</v>
      </c>
      <c r="AV129" s="30" t="s">
        <v>487</v>
      </c>
      <c r="AW129" s="30">
        <v>2019</v>
      </c>
      <c r="AX129" s="30">
        <v>122</v>
      </c>
      <c r="AY129" s="30" t="s">
        <v>245</v>
      </c>
      <c r="AZ129" s="30" t="s">
        <v>245</v>
      </c>
      <c r="BA129" s="30" t="s">
        <v>245</v>
      </c>
      <c r="BB129" s="30" t="s">
        <v>245</v>
      </c>
      <c r="BC129" s="30" t="s">
        <v>245</v>
      </c>
      <c r="BD129" s="30">
        <v>90</v>
      </c>
      <c r="BE129" s="30">
        <v>98</v>
      </c>
      <c r="BF129" s="30" t="s">
        <v>245</v>
      </c>
      <c r="BG129" s="30" t="s">
        <v>1293</v>
      </c>
      <c r="BH129" s="30" t="str">
        <f>HYPERLINK("http://dx.doi.org/10.1016/j.biombioe.2019.01.023","http://dx.doi.org/10.1016/j.biombioe.2019.01.023")</f>
        <v>http://dx.doi.org/10.1016/j.biombioe.2019.01.023</v>
      </c>
      <c r="BI129" s="30" t="s">
        <v>245</v>
      </c>
      <c r="BJ129" s="30" t="s">
        <v>245</v>
      </c>
      <c r="BK129" s="30" t="s">
        <v>245</v>
      </c>
      <c r="BL129" s="30" t="s">
        <v>245</v>
      </c>
      <c r="BM129" s="30" t="s">
        <v>245</v>
      </c>
      <c r="BN129" s="30" t="s">
        <v>245</v>
      </c>
      <c r="BO129" s="30" t="s">
        <v>245</v>
      </c>
      <c r="BP129" s="30" t="s">
        <v>245</v>
      </c>
      <c r="BQ129" s="30" t="s">
        <v>245</v>
      </c>
      <c r="BR129" s="30" t="s">
        <v>245</v>
      </c>
      <c r="BS129" s="30" t="s">
        <v>245</v>
      </c>
      <c r="BT129" s="30" t="s">
        <v>245</v>
      </c>
      <c r="BU129" s="30" t="s">
        <v>1294</v>
      </c>
      <c r="BV129" s="30" t="str">
        <f>HYPERLINK("https%3A%2F%2Fwww.webofscience.com%2Fwos%2Fwoscc%2Ffull-record%2FWOS:000459461800010","View Full Record in Web of Science")</f>
        <v>View Full Record in Web of Science</v>
      </c>
    </row>
    <row r="130" spans="1:74" x14ac:dyDescent="0.2">
      <c r="A130" s="30" t="s">
        <v>243</v>
      </c>
      <c r="B130" s="30" t="s">
        <v>1295</v>
      </c>
      <c r="C130" s="30" t="s">
        <v>245</v>
      </c>
      <c r="D130" s="30" t="s">
        <v>245</v>
      </c>
      <c r="E130" s="30" t="s">
        <v>245</v>
      </c>
      <c r="F130" s="30" t="s">
        <v>1296</v>
      </c>
      <c r="G130" s="30" t="s">
        <v>245</v>
      </c>
      <c r="H130" s="30" t="s">
        <v>245</v>
      </c>
      <c r="I130" s="30" t="s">
        <v>2819</v>
      </c>
      <c r="K130" s="30" t="s">
        <v>1297</v>
      </c>
      <c r="L130" s="30" t="s">
        <v>1298</v>
      </c>
      <c r="M130" s="30" t="s">
        <v>245</v>
      </c>
      <c r="N130" s="30" t="s">
        <v>245</v>
      </c>
      <c r="O130" s="30" t="s">
        <v>245</v>
      </c>
      <c r="P130" s="30" t="s">
        <v>245</v>
      </c>
      <c r="Q130" s="30" t="s">
        <v>245</v>
      </c>
      <c r="R130" s="30" t="s">
        <v>245</v>
      </c>
      <c r="S130" s="30" t="s">
        <v>245</v>
      </c>
      <c r="T130" s="30" t="s">
        <v>245</v>
      </c>
      <c r="U130" s="30" t="s">
        <v>245</v>
      </c>
      <c r="V130" s="30" t="s">
        <v>245</v>
      </c>
      <c r="W130" s="30" t="s">
        <v>245</v>
      </c>
      <c r="X130" s="30" t="s">
        <v>245</v>
      </c>
      <c r="Y130" s="30" t="s">
        <v>245</v>
      </c>
      <c r="Z130" s="30" t="s">
        <v>245</v>
      </c>
      <c r="AA130" s="30" t="s">
        <v>245</v>
      </c>
      <c r="AB130" s="30" t="s">
        <v>245</v>
      </c>
      <c r="AC130" s="30" t="s">
        <v>1299</v>
      </c>
      <c r="AD130" s="30" t="s">
        <v>836</v>
      </c>
      <c r="AE130" s="30" t="s">
        <v>245</v>
      </c>
      <c r="AF130" s="30" t="s">
        <v>245</v>
      </c>
      <c r="AG130" s="30" t="s">
        <v>245</v>
      </c>
      <c r="AH130" s="30" t="s">
        <v>245</v>
      </c>
      <c r="AI130" s="30" t="s">
        <v>245</v>
      </c>
      <c r="AJ130" s="30" t="s">
        <v>245</v>
      </c>
      <c r="AK130" s="30" t="s">
        <v>245</v>
      </c>
      <c r="AL130" s="30" t="s">
        <v>245</v>
      </c>
      <c r="AM130" s="30" t="s">
        <v>245</v>
      </c>
      <c r="AN130" s="30" t="s">
        <v>245</v>
      </c>
      <c r="AO130" s="30" t="s">
        <v>245</v>
      </c>
      <c r="AP130" s="30" t="s">
        <v>245</v>
      </c>
      <c r="AQ130" s="30" t="s">
        <v>1300</v>
      </c>
      <c r="AR130" s="30" t="s">
        <v>1301</v>
      </c>
      <c r="AS130" s="30" t="s">
        <v>245</v>
      </c>
      <c r="AT130" s="30" t="s">
        <v>245</v>
      </c>
      <c r="AU130" s="30" t="s">
        <v>245</v>
      </c>
      <c r="AV130" s="30" t="s">
        <v>245</v>
      </c>
      <c r="AW130" s="30">
        <v>2017</v>
      </c>
      <c r="AX130" s="30">
        <v>55</v>
      </c>
      <c r="AY130" s="30">
        <v>1</v>
      </c>
      <c r="AZ130" s="30" t="s">
        <v>245</v>
      </c>
      <c r="BA130" s="30" t="s">
        <v>245</v>
      </c>
      <c r="BB130" s="30" t="s">
        <v>245</v>
      </c>
      <c r="BC130" s="30" t="s">
        <v>245</v>
      </c>
      <c r="BD130" s="30">
        <v>47</v>
      </c>
      <c r="BE130" s="30">
        <v>57</v>
      </c>
      <c r="BF130" s="30" t="s">
        <v>245</v>
      </c>
      <c r="BG130" s="30" t="s">
        <v>1302</v>
      </c>
      <c r="BH130" s="30" t="str">
        <f>HYPERLINK("http://dx.doi.org/10.1071/SR16010","http://dx.doi.org/10.1071/SR16010")</f>
        <v>http://dx.doi.org/10.1071/SR16010</v>
      </c>
      <c r="BI130" s="30" t="s">
        <v>245</v>
      </c>
      <c r="BJ130" s="30" t="s">
        <v>245</v>
      </c>
      <c r="BK130" s="30" t="s">
        <v>245</v>
      </c>
      <c r="BL130" s="30" t="s">
        <v>245</v>
      </c>
      <c r="BM130" s="30" t="s">
        <v>245</v>
      </c>
      <c r="BN130" s="30" t="s">
        <v>245</v>
      </c>
      <c r="BO130" s="30" t="s">
        <v>245</v>
      </c>
      <c r="BP130" s="30" t="s">
        <v>245</v>
      </c>
      <c r="BQ130" s="30" t="s">
        <v>245</v>
      </c>
      <c r="BR130" s="30" t="s">
        <v>245</v>
      </c>
      <c r="BS130" s="30" t="s">
        <v>245</v>
      </c>
      <c r="BT130" s="30" t="s">
        <v>245</v>
      </c>
      <c r="BU130" s="30" t="s">
        <v>1303</v>
      </c>
      <c r="BV130" s="30" t="str">
        <f>HYPERLINK("https%3A%2F%2Fwww.webofscience.com%2Fwos%2Fwoscc%2Ffull-record%2FWOS:000392202900006","View Full Record in Web of Science")</f>
        <v>View Full Record in Web of Science</v>
      </c>
    </row>
    <row r="131" spans="1:74" x14ac:dyDescent="0.2">
      <c r="A131" s="30" t="s">
        <v>243</v>
      </c>
      <c r="B131" s="30" t="s">
        <v>1304</v>
      </c>
      <c r="C131" s="30" t="s">
        <v>245</v>
      </c>
      <c r="D131" s="30" t="s">
        <v>245</v>
      </c>
      <c r="E131" s="30" t="s">
        <v>245</v>
      </c>
      <c r="F131" s="30" t="s">
        <v>1305</v>
      </c>
      <c r="G131" s="30" t="s">
        <v>245</v>
      </c>
      <c r="H131" s="30" t="s">
        <v>245</v>
      </c>
      <c r="I131" s="30" t="s">
        <v>2821</v>
      </c>
      <c r="K131" s="30" t="s">
        <v>1306</v>
      </c>
      <c r="L131" s="30" t="s">
        <v>1307</v>
      </c>
      <c r="M131" s="30" t="s">
        <v>245</v>
      </c>
      <c r="N131" s="30" t="s">
        <v>245</v>
      </c>
      <c r="O131" s="30" t="s">
        <v>245</v>
      </c>
      <c r="P131" s="30" t="s">
        <v>245</v>
      </c>
      <c r="Q131" s="30" t="s">
        <v>245</v>
      </c>
      <c r="R131" s="30" t="s">
        <v>245</v>
      </c>
      <c r="S131" s="30" t="s">
        <v>245</v>
      </c>
      <c r="T131" s="30" t="s">
        <v>245</v>
      </c>
      <c r="U131" s="30" t="s">
        <v>245</v>
      </c>
      <c r="V131" s="30" t="s">
        <v>245</v>
      </c>
      <c r="W131" s="30" t="s">
        <v>245</v>
      </c>
      <c r="X131" s="30" t="s">
        <v>245</v>
      </c>
      <c r="Y131" s="30" t="s">
        <v>245</v>
      </c>
      <c r="Z131" s="30" t="s">
        <v>245</v>
      </c>
      <c r="AA131" s="30" t="s">
        <v>245</v>
      </c>
      <c r="AB131" s="30" t="s">
        <v>245</v>
      </c>
      <c r="AC131" s="30" t="s">
        <v>1308</v>
      </c>
      <c r="AD131" s="30" t="s">
        <v>1309</v>
      </c>
      <c r="AE131" s="30" t="s">
        <v>245</v>
      </c>
      <c r="AF131" s="30" t="s">
        <v>245</v>
      </c>
      <c r="AG131" s="30" t="s">
        <v>245</v>
      </c>
      <c r="AH131" s="30" t="s">
        <v>245</v>
      </c>
      <c r="AI131" s="30" t="s">
        <v>245</v>
      </c>
      <c r="AJ131" s="30" t="s">
        <v>245</v>
      </c>
      <c r="AK131" s="30" t="s">
        <v>245</v>
      </c>
      <c r="AL131" s="30" t="s">
        <v>245</v>
      </c>
      <c r="AM131" s="30" t="s">
        <v>245</v>
      </c>
      <c r="AN131" s="30" t="s">
        <v>245</v>
      </c>
      <c r="AO131" s="30" t="s">
        <v>245</v>
      </c>
      <c r="AP131" s="30" t="s">
        <v>245</v>
      </c>
      <c r="AQ131" s="30" t="s">
        <v>1310</v>
      </c>
      <c r="AR131" s="30" t="s">
        <v>1311</v>
      </c>
      <c r="AS131" s="30" t="s">
        <v>245</v>
      </c>
      <c r="AT131" s="30" t="s">
        <v>245</v>
      </c>
      <c r="AU131" s="30" t="s">
        <v>245</v>
      </c>
      <c r="AV131" s="30" t="s">
        <v>1312</v>
      </c>
      <c r="AW131" s="30">
        <v>2023</v>
      </c>
      <c r="AX131" s="30">
        <v>69</v>
      </c>
      <c r="AY131" s="30">
        <v>4</v>
      </c>
      <c r="AZ131" s="30" t="s">
        <v>245</v>
      </c>
      <c r="BA131" s="30" t="s">
        <v>245</v>
      </c>
      <c r="BB131" s="30" t="s">
        <v>245</v>
      </c>
      <c r="BC131" s="30" t="s">
        <v>245</v>
      </c>
      <c r="BD131" s="30">
        <v>648</v>
      </c>
      <c r="BE131" s="30">
        <v>661</v>
      </c>
      <c r="BF131" s="30" t="s">
        <v>245</v>
      </c>
      <c r="BG131" s="30" t="s">
        <v>1313</v>
      </c>
      <c r="BH131" s="30" t="str">
        <f>HYPERLINK("http://dx.doi.org/10.1080/03650340.2021.2022650","http://dx.doi.org/10.1080/03650340.2021.2022650")</f>
        <v>http://dx.doi.org/10.1080/03650340.2021.2022650</v>
      </c>
      <c r="BI131" s="30" t="s">
        <v>245</v>
      </c>
      <c r="BJ131" s="30" t="s">
        <v>1314</v>
      </c>
      <c r="BK131" s="30" t="s">
        <v>245</v>
      </c>
      <c r="BL131" s="30" t="s">
        <v>245</v>
      </c>
      <c r="BM131" s="30" t="s">
        <v>245</v>
      </c>
      <c r="BN131" s="30" t="s">
        <v>245</v>
      </c>
      <c r="BO131" s="30" t="s">
        <v>245</v>
      </c>
      <c r="BP131" s="30" t="s">
        <v>245</v>
      </c>
      <c r="BQ131" s="30" t="s">
        <v>245</v>
      </c>
      <c r="BR131" s="30" t="s">
        <v>245</v>
      </c>
      <c r="BS131" s="30" t="s">
        <v>245</v>
      </c>
      <c r="BT131" s="30" t="s">
        <v>245</v>
      </c>
      <c r="BU131" s="30" t="s">
        <v>1315</v>
      </c>
      <c r="BV131" s="30" t="str">
        <f>HYPERLINK("https%3A%2F%2Fwww.webofscience.com%2Fwos%2Fwoscc%2Ffull-record%2FWOS:000740086200001","View Full Record in Web of Science")</f>
        <v>View Full Record in Web of Science</v>
      </c>
    </row>
    <row r="132" spans="1:74" x14ac:dyDescent="0.2">
      <c r="A132" s="30" t="s">
        <v>243</v>
      </c>
      <c r="B132" s="30" t="s">
        <v>1316</v>
      </c>
      <c r="C132" s="30" t="s">
        <v>245</v>
      </c>
      <c r="D132" s="30" t="s">
        <v>245</v>
      </c>
      <c r="E132" s="30" t="s">
        <v>245</v>
      </c>
      <c r="F132" s="30" t="s">
        <v>1317</v>
      </c>
      <c r="G132" s="30" t="s">
        <v>245</v>
      </c>
      <c r="H132" s="30" t="s">
        <v>245</v>
      </c>
      <c r="I132" s="30" t="s">
        <v>2821</v>
      </c>
      <c r="K132" s="30" t="s">
        <v>1318</v>
      </c>
      <c r="L132" s="30" t="s">
        <v>501</v>
      </c>
      <c r="M132" s="30" t="s">
        <v>245</v>
      </c>
      <c r="N132" s="30" t="s">
        <v>245</v>
      </c>
      <c r="O132" s="30" t="s">
        <v>245</v>
      </c>
      <c r="P132" s="30" t="s">
        <v>245</v>
      </c>
      <c r="Q132" s="30" t="s">
        <v>245</v>
      </c>
      <c r="R132" s="30" t="s">
        <v>245</v>
      </c>
      <c r="S132" s="30" t="s">
        <v>245</v>
      </c>
      <c r="T132" s="30" t="s">
        <v>245</v>
      </c>
      <c r="U132" s="30" t="s">
        <v>245</v>
      </c>
      <c r="V132" s="30" t="s">
        <v>245</v>
      </c>
      <c r="W132" s="30" t="s">
        <v>245</v>
      </c>
      <c r="X132" s="30" t="s">
        <v>245</v>
      </c>
      <c r="Y132" s="30" t="s">
        <v>245</v>
      </c>
      <c r="Z132" s="30" t="s">
        <v>245</v>
      </c>
      <c r="AA132" s="30" t="s">
        <v>245</v>
      </c>
      <c r="AB132" s="30" t="s">
        <v>245</v>
      </c>
      <c r="AC132" s="30" t="s">
        <v>1319</v>
      </c>
      <c r="AD132" s="30" t="s">
        <v>1320</v>
      </c>
      <c r="AE132" s="30" t="s">
        <v>245</v>
      </c>
      <c r="AF132" s="30" t="s">
        <v>245</v>
      </c>
      <c r="AG132" s="30" t="s">
        <v>245</v>
      </c>
      <c r="AH132" s="30" t="s">
        <v>245</v>
      </c>
      <c r="AI132" s="30" t="s">
        <v>245</v>
      </c>
      <c r="AJ132" s="30" t="s">
        <v>245</v>
      </c>
      <c r="AK132" s="30" t="s">
        <v>245</v>
      </c>
      <c r="AL132" s="30" t="s">
        <v>245</v>
      </c>
      <c r="AM132" s="30" t="s">
        <v>245</v>
      </c>
      <c r="AN132" s="30" t="s">
        <v>245</v>
      </c>
      <c r="AO132" s="30" t="s">
        <v>245</v>
      </c>
      <c r="AP132" s="30" t="s">
        <v>245</v>
      </c>
      <c r="AQ132" s="30" t="s">
        <v>504</v>
      </c>
      <c r="AR132" s="30" t="s">
        <v>505</v>
      </c>
      <c r="AS132" s="30" t="s">
        <v>245</v>
      </c>
      <c r="AT132" s="30" t="s">
        <v>245</v>
      </c>
      <c r="AU132" s="30" t="s">
        <v>245</v>
      </c>
      <c r="AV132" s="30" t="s">
        <v>535</v>
      </c>
      <c r="AW132" s="30">
        <v>2018</v>
      </c>
      <c r="AX132" s="30">
        <v>129</v>
      </c>
      <c r="AY132" s="30" t="s">
        <v>245</v>
      </c>
      <c r="AZ132" s="30" t="s">
        <v>245</v>
      </c>
      <c r="BA132" s="30" t="s">
        <v>245</v>
      </c>
      <c r="BB132" s="30" t="s">
        <v>245</v>
      </c>
      <c r="BC132" s="30" t="s">
        <v>245</v>
      </c>
      <c r="BD132" s="30">
        <v>121</v>
      </c>
      <c r="BE132" s="30">
        <v>127</v>
      </c>
      <c r="BF132" s="30" t="s">
        <v>245</v>
      </c>
      <c r="BG132" s="30" t="s">
        <v>1321</v>
      </c>
      <c r="BH132" s="30" t="str">
        <f>HYPERLINK("http://dx.doi.org/10.1016/j.apsoil.2018.05.009","http://dx.doi.org/10.1016/j.apsoil.2018.05.009")</f>
        <v>http://dx.doi.org/10.1016/j.apsoil.2018.05.009</v>
      </c>
      <c r="BI132" s="30" t="s">
        <v>245</v>
      </c>
      <c r="BJ132" s="30" t="s">
        <v>245</v>
      </c>
      <c r="BK132" s="30" t="s">
        <v>245</v>
      </c>
      <c r="BL132" s="30" t="s">
        <v>245</v>
      </c>
      <c r="BM132" s="30" t="s">
        <v>245</v>
      </c>
      <c r="BN132" s="30" t="s">
        <v>245</v>
      </c>
      <c r="BO132" s="30" t="s">
        <v>245</v>
      </c>
      <c r="BP132" s="30" t="s">
        <v>245</v>
      </c>
      <c r="BQ132" s="30" t="s">
        <v>245</v>
      </c>
      <c r="BR132" s="30" t="s">
        <v>245</v>
      </c>
      <c r="BS132" s="30" t="s">
        <v>245</v>
      </c>
      <c r="BT132" s="30" t="s">
        <v>245</v>
      </c>
      <c r="BU132" s="30" t="s">
        <v>1322</v>
      </c>
      <c r="BV132" s="30" t="str">
        <f>HYPERLINK("https%3A%2F%2Fwww.webofscience.com%2Fwos%2Fwoscc%2Ffull-record%2FWOS:000436438700015","View Full Record in Web of Science")</f>
        <v>View Full Record in Web of Science</v>
      </c>
    </row>
    <row r="133" spans="1:74" x14ac:dyDescent="0.2">
      <c r="A133" s="30" t="s">
        <v>243</v>
      </c>
      <c r="B133" s="30" t="s">
        <v>1323</v>
      </c>
      <c r="C133" s="30" t="s">
        <v>245</v>
      </c>
      <c r="D133" s="30" t="s">
        <v>245</v>
      </c>
      <c r="E133" s="30" t="s">
        <v>245</v>
      </c>
      <c r="F133" s="30" t="s">
        <v>1324</v>
      </c>
      <c r="G133" s="30" t="s">
        <v>245</v>
      </c>
      <c r="H133" s="30" t="s">
        <v>245</v>
      </c>
      <c r="I133" s="30" t="s">
        <v>2823</v>
      </c>
      <c r="K133" s="30" t="s">
        <v>1325</v>
      </c>
      <c r="L133" s="30" t="s">
        <v>402</v>
      </c>
      <c r="M133" s="30" t="s">
        <v>245</v>
      </c>
      <c r="N133" s="30" t="s">
        <v>245</v>
      </c>
      <c r="O133" s="30" t="s">
        <v>245</v>
      </c>
      <c r="P133" s="30" t="s">
        <v>245</v>
      </c>
      <c r="Q133" s="30" t="s">
        <v>245</v>
      </c>
      <c r="R133" s="30" t="s">
        <v>245</v>
      </c>
      <c r="S133" s="30" t="s">
        <v>245</v>
      </c>
      <c r="T133" s="30" t="s">
        <v>245</v>
      </c>
      <c r="U133" s="30" t="s">
        <v>245</v>
      </c>
      <c r="V133" s="30" t="s">
        <v>245</v>
      </c>
      <c r="W133" s="30" t="s">
        <v>245</v>
      </c>
      <c r="X133" s="30" t="s">
        <v>245</v>
      </c>
      <c r="Y133" s="30" t="s">
        <v>245</v>
      </c>
      <c r="Z133" s="30" t="s">
        <v>245</v>
      </c>
      <c r="AA133" s="30" t="s">
        <v>245</v>
      </c>
      <c r="AB133" s="30" t="s">
        <v>245</v>
      </c>
      <c r="AC133" s="30" t="s">
        <v>1326</v>
      </c>
      <c r="AD133" s="30" t="s">
        <v>245</v>
      </c>
      <c r="AE133" s="30" t="s">
        <v>245</v>
      </c>
      <c r="AF133" s="30" t="s">
        <v>245</v>
      </c>
      <c r="AG133" s="30" t="s">
        <v>245</v>
      </c>
      <c r="AH133" s="30" t="s">
        <v>245</v>
      </c>
      <c r="AI133" s="30" t="s">
        <v>245</v>
      </c>
      <c r="AJ133" s="30" t="s">
        <v>245</v>
      </c>
      <c r="AK133" s="30" t="s">
        <v>245</v>
      </c>
      <c r="AL133" s="30" t="s">
        <v>245</v>
      </c>
      <c r="AM133" s="30" t="s">
        <v>245</v>
      </c>
      <c r="AN133" s="30" t="s">
        <v>245</v>
      </c>
      <c r="AO133" s="30" t="s">
        <v>245</v>
      </c>
      <c r="AP133" s="30" t="s">
        <v>245</v>
      </c>
      <c r="AQ133" s="30" t="s">
        <v>405</v>
      </c>
      <c r="AR133" s="30" t="s">
        <v>406</v>
      </c>
      <c r="AS133" s="30" t="s">
        <v>245</v>
      </c>
      <c r="AT133" s="30" t="s">
        <v>245</v>
      </c>
      <c r="AU133" s="30" t="s">
        <v>245</v>
      </c>
      <c r="AV133" s="30" t="s">
        <v>550</v>
      </c>
      <c r="AW133" s="30">
        <v>2021</v>
      </c>
      <c r="AX133" s="30">
        <v>21</v>
      </c>
      <c r="AY133" s="30">
        <v>11</v>
      </c>
      <c r="AZ133" s="30" t="s">
        <v>245</v>
      </c>
      <c r="BA133" s="30" t="s">
        <v>245</v>
      </c>
      <c r="BB133" s="30" t="s">
        <v>245</v>
      </c>
      <c r="BC133" s="30" t="s">
        <v>245</v>
      </c>
      <c r="BD133" s="30">
        <v>3543</v>
      </c>
      <c r="BE133" s="30">
        <v>3555</v>
      </c>
      <c r="BF133" s="30" t="s">
        <v>245</v>
      </c>
      <c r="BG133" s="30" t="s">
        <v>1327</v>
      </c>
      <c r="BH133" s="30" t="str">
        <f>HYPERLINK("http://dx.doi.org/10.1007/s11368-021-03014-w","http://dx.doi.org/10.1007/s11368-021-03014-w")</f>
        <v>http://dx.doi.org/10.1007/s11368-021-03014-w</v>
      </c>
      <c r="BI133" s="30" t="s">
        <v>245</v>
      </c>
      <c r="BJ133" s="30" t="s">
        <v>1328</v>
      </c>
      <c r="BK133" s="30" t="s">
        <v>245</v>
      </c>
      <c r="BL133" s="30" t="s">
        <v>245</v>
      </c>
      <c r="BM133" s="30" t="s">
        <v>245</v>
      </c>
      <c r="BN133" s="30" t="s">
        <v>245</v>
      </c>
      <c r="BO133" s="30" t="s">
        <v>245</v>
      </c>
      <c r="BP133" s="30" t="s">
        <v>245</v>
      </c>
      <c r="BQ133" s="30" t="s">
        <v>245</v>
      </c>
      <c r="BR133" s="30" t="s">
        <v>245</v>
      </c>
      <c r="BS133" s="30" t="s">
        <v>245</v>
      </c>
      <c r="BT133" s="30" t="s">
        <v>245</v>
      </c>
      <c r="BU133" s="30" t="s">
        <v>1329</v>
      </c>
      <c r="BV133" s="30" t="str">
        <f>HYPERLINK("https%3A%2F%2Fwww.webofscience.com%2Fwos%2Fwoscc%2Ffull-record%2FWOS:000676088800001","View Full Record in Web of Science")</f>
        <v>View Full Record in Web of Science</v>
      </c>
    </row>
    <row r="134" spans="1:74" x14ac:dyDescent="0.2">
      <c r="A134" s="30" t="s">
        <v>243</v>
      </c>
      <c r="B134" s="30" t="s">
        <v>1330</v>
      </c>
      <c r="C134" s="30" t="s">
        <v>245</v>
      </c>
      <c r="D134" s="30" t="s">
        <v>245</v>
      </c>
      <c r="E134" s="30" t="s">
        <v>245</v>
      </c>
      <c r="F134" s="30" t="s">
        <v>1331</v>
      </c>
      <c r="G134" s="30" t="s">
        <v>245</v>
      </c>
      <c r="H134" s="30" t="s">
        <v>245</v>
      </c>
      <c r="I134" s="30" t="s">
        <v>2821</v>
      </c>
      <c r="K134" s="30" t="s">
        <v>1332</v>
      </c>
      <c r="L134" s="30" t="s">
        <v>1333</v>
      </c>
      <c r="M134" s="30" t="s">
        <v>245</v>
      </c>
      <c r="N134" s="30" t="s">
        <v>245</v>
      </c>
      <c r="O134" s="30" t="s">
        <v>245</v>
      </c>
      <c r="P134" s="30" t="s">
        <v>245</v>
      </c>
      <c r="Q134" s="30" t="s">
        <v>245</v>
      </c>
      <c r="R134" s="30" t="s">
        <v>245</v>
      </c>
      <c r="S134" s="30" t="s">
        <v>245</v>
      </c>
      <c r="T134" s="30" t="s">
        <v>245</v>
      </c>
      <c r="U134" s="30" t="s">
        <v>245</v>
      </c>
      <c r="V134" s="30" t="s">
        <v>245</v>
      </c>
      <c r="W134" s="30" t="s">
        <v>245</v>
      </c>
      <c r="X134" s="30" t="s">
        <v>245</v>
      </c>
      <c r="Y134" s="30" t="s">
        <v>245</v>
      </c>
      <c r="Z134" s="30" t="s">
        <v>245</v>
      </c>
      <c r="AA134" s="30" t="s">
        <v>245</v>
      </c>
      <c r="AB134" s="30" t="s">
        <v>245</v>
      </c>
      <c r="AC134" s="30" t="s">
        <v>1334</v>
      </c>
      <c r="AD134" s="30" t="s">
        <v>1335</v>
      </c>
      <c r="AE134" s="30" t="s">
        <v>245</v>
      </c>
      <c r="AF134" s="30" t="s">
        <v>245</v>
      </c>
      <c r="AG134" s="30" t="s">
        <v>245</v>
      </c>
      <c r="AH134" s="30" t="s">
        <v>245</v>
      </c>
      <c r="AI134" s="30" t="s">
        <v>245</v>
      </c>
      <c r="AJ134" s="30" t="s">
        <v>245</v>
      </c>
      <c r="AK134" s="30" t="s">
        <v>245</v>
      </c>
      <c r="AL134" s="30" t="s">
        <v>245</v>
      </c>
      <c r="AM134" s="30" t="s">
        <v>245</v>
      </c>
      <c r="AN134" s="30" t="s">
        <v>245</v>
      </c>
      <c r="AO134" s="30" t="s">
        <v>245</v>
      </c>
      <c r="AP134" s="30" t="s">
        <v>245</v>
      </c>
      <c r="AQ134" s="30" t="s">
        <v>1336</v>
      </c>
      <c r="AR134" s="30" t="s">
        <v>245</v>
      </c>
      <c r="AS134" s="30" t="s">
        <v>245</v>
      </c>
      <c r="AT134" s="30" t="s">
        <v>245</v>
      </c>
      <c r="AU134" s="30" t="s">
        <v>245</v>
      </c>
      <c r="AV134" s="30" t="s">
        <v>365</v>
      </c>
      <c r="AW134" s="30">
        <v>2025</v>
      </c>
      <c r="AX134" s="30">
        <v>37</v>
      </c>
      <c r="AY134" s="30" t="s">
        <v>245</v>
      </c>
      <c r="AZ134" s="30" t="s">
        <v>245</v>
      </c>
      <c r="BA134" s="30" t="s">
        <v>245</v>
      </c>
      <c r="BB134" s="30" t="s">
        <v>245</v>
      </c>
      <c r="BC134" s="30" t="s">
        <v>245</v>
      </c>
      <c r="BD134" s="30" t="s">
        <v>245</v>
      </c>
      <c r="BE134" s="30" t="s">
        <v>245</v>
      </c>
      <c r="BF134" s="30">
        <v>103952</v>
      </c>
      <c r="BG134" s="30" t="s">
        <v>1337</v>
      </c>
      <c r="BH134" s="30" t="str">
        <f>HYPERLINK("http://dx.doi.org/10.1016/j.eti.2024.103952","http://dx.doi.org/10.1016/j.eti.2024.103952")</f>
        <v>http://dx.doi.org/10.1016/j.eti.2024.103952</v>
      </c>
      <c r="BI134" s="30" t="s">
        <v>245</v>
      </c>
      <c r="BJ134" s="30" t="s">
        <v>1338</v>
      </c>
      <c r="BK134" s="30" t="s">
        <v>245</v>
      </c>
      <c r="BL134" s="30" t="s">
        <v>245</v>
      </c>
      <c r="BM134" s="30" t="s">
        <v>245</v>
      </c>
      <c r="BN134" s="30" t="s">
        <v>245</v>
      </c>
      <c r="BO134" s="30" t="s">
        <v>245</v>
      </c>
      <c r="BP134" s="30" t="s">
        <v>245</v>
      </c>
      <c r="BQ134" s="30" t="s">
        <v>245</v>
      </c>
      <c r="BR134" s="30" t="s">
        <v>245</v>
      </c>
      <c r="BS134" s="30" t="s">
        <v>245</v>
      </c>
      <c r="BT134" s="30" t="s">
        <v>245</v>
      </c>
      <c r="BU134" s="30" t="s">
        <v>1339</v>
      </c>
      <c r="BV134" s="30" t="str">
        <f>HYPERLINK("https%3A%2F%2Fwww.webofscience.com%2Fwos%2Fwoscc%2Ffull-record%2FWOS:001413809000001","View Full Record in Web of Science")</f>
        <v>View Full Record in Web of Science</v>
      </c>
    </row>
    <row r="135" spans="1:74" x14ac:dyDescent="0.2">
      <c r="A135" s="30" t="s">
        <v>243</v>
      </c>
      <c r="B135" s="30" t="s">
        <v>1340</v>
      </c>
      <c r="C135" s="30" t="s">
        <v>245</v>
      </c>
      <c r="D135" s="30" t="s">
        <v>245</v>
      </c>
      <c r="E135" s="30" t="s">
        <v>245</v>
      </c>
      <c r="F135" s="30" t="s">
        <v>1341</v>
      </c>
      <c r="G135" s="30" t="s">
        <v>245</v>
      </c>
      <c r="H135" s="30" t="s">
        <v>245</v>
      </c>
      <c r="I135" s="30" t="s">
        <v>2821</v>
      </c>
      <c r="K135" s="30" t="s">
        <v>1342</v>
      </c>
      <c r="L135" s="30" t="s">
        <v>1343</v>
      </c>
      <c r="M135" s="30" t="s">
        <v>245</v>
      </c>
      <c r="N135" s="30" t="s">
        <v>245</v>
      </c>
      <c r="O135" s="30" t="s">
        <v>245</v>
      </c>
      <c r="P135" s="30" t="s">
        <v>245</v>
      </c>
      <c r="Q135" s="30" t="s">
        <v>245</v>
      </c>
      <c r="R135" s="30" t="s">
        <v>245</v>
      </c>
      <c r="S135" s="30" t="s">
        <v>245</v>
      </c>
      <c r="T135" s="30" t="s">
        <v>245</v>
      </c>
      <c r="U135" s="30" t="s">
        <v>245</v>
      </c>
      <c r="V135" s="30" t="s">
        <v>245</v>
      </c>
      <c r="W135" s="30" t="s">
        <v>245</v>
      </c>
      <c r="X135" s="30" t="s">
        <v>245</v>
      </c>
      <c r="Y135" s="30" t="s">
        <v>245</v>
      </c>
      <c r="Z135" s="30" t="s">
        <v>245</v>
      </c>
      <c r="AA135" s="30" t="s">
        <v>245</v>
      </c>
      <c r="AB135" s="30" t="s">
        <v>245</v>
      </c>
      <c r="AC135" s="30" t="s">
        <v>1344</v>
      </c>
      <c r="AD135" s="30" t="s">
        <v>1345</v>
      </c>
      <c r="AE135" s="30" t="s">
        <v>245</v>
      </c>
      <c r="AF135" s="30" t="s">
        <v>245</v>
      </c>
      <c r="AG135" s="30" t="s">
        <v>245</v>
      </c>
      <c r="AH135" s="30" t="s">
        <v>245</v>
      </c>
      <c r="AI135" s="30" t="s">
        <v>245</v>
      </c>
      <c r="AJ135" s="30" t="s">
        <v>245</v>
      </c>
      <c r="AK135" s="30" t="s">
        <v>245</v>
      </c>
      <c r="AL135" s="30" t="s">
        <v>245</v>
      </c>
      <c r="AM135" s="30" t="s">
        <v>245</v>
      </c>
      <c r="AN135" s="30" t="s">
        <v>245</v>
      </c>
      <c r="AO135" s="30" t="s">
        <v>245</v>
      </c>
      <c r="AP135" s="30" t="s">
        <v>245</v>
      </c>
      <c r="AQ135" s="30" t="s">
        <v>245</v>
      </c>
      <c r="AR135" s="30" t="s">
        <v>1346</v>
      </c>
      <c r="AS135" s="30" t="s">
        <v>245</v>
      </c>
      <c r="AT135" s="30" t="s">
        <v>245</v>
      </c>
      <c r="AU135" s="30" t="s">
        <v>245</v>
      </c>
      <c r="AV135" s="30" t="s">
        <v>265</v>
      </c>
      <c r="AW135" s="30">
        <v>2024</v>
      </c>
      <c r="AX135" s="30">
        <v>14</v>
      </c>
      <c r="AY135" s="30">
        <v>12</v>
      </c>
      <c r="AZ135" s="30" t="s">
        <v>245</v>
      </c>
      <c r="BA135" s="30" t="s">
        <v>245</v>
      </c>
      <c r="BB135" s="30" t="s">
        <v>245</v>
      </c>
      <c r="BC135" s="30" t="s">
        <v>245</v>
      </c>
      <c r="BD135" s="30" t="s">
        <v>245</v>
      </c>
      <c r="BE135" s="30" t="s">
        <v>245</v>
      </c>
      <c r="BF135" s="30">
        <v>4998</v>
      </c>
      <c r="BG135" s="30" t="s">
        <v>1347</v>
      </c>
      <c r="BH135" s="30" t="str">
        <f>HYPERLINK("http://dx.doi.org/10.3390/app14124998","http://dx.doi.org/10.3390/app14124998")</f>
        <v>http://dx.doi.org/10.3390/app14124998</v>
      </c>
      <c r="BI135" s="30" t="s">
        <v>245</v>
      </c>
      <c r="BJ135" s="30" t="s">
        <v>245</v>
      </c>
      <c r="BK135" s="30" t="s">
        <v>245</v>
      </c>
      <c r="BL135" s="30" t="s">
        <v>245</v>
      </c>
      <c r="BM135" s="30" t="s">
        <v>245</v>
      </c>
      <c r="BN135" s="30" t="s">
        <v>245</v>
      </c>
      <c r="BO135" s="30" t="s">
        <v>245</v>
      </c>
      <c r="BP135" s="30" t="s">
        <v>245</v>
      </c>
      <c r="BQ135" s="30" t="s">
        <v>245</v>
      </c>
      <c r="BR135" s="30" t="s">
        <v>245</v>
      </c>
      <c r="BS135" s="30" t="s">
        <v>245</v>
      </c>
      <c r="BT135" s="30" t="s">
        <v>245</v>
      </c>
      <c r="BU135" s="30" t="s">
        <v>1348</v>
      </c>
      <c r="BV135" s="30" t="str">
        <f>HYPERLINK("https%3A%2F%2Fwww.webofscience.com%2Fwos%2Fwoscc%2Ffull-record%2FWOS:001255041800001","View Full Record in Web of Science")</f>
        <v>View Full Record in Web of Science</v>
      </c>
    </row>
    <row r="136" spans="1:74" x14ac:dyDescent="0.2">
      <c r="A136" s="30" t="s">
        <v>243</v>
      </c>
      <c r="B136" s="30" t="s">
        <v>1349</v>
      </c>
      <c r="C136" s="30" t="s">
        <v>245</v>
      </c>
      <c r="D136" s="30" t="s">
        <v>245</v>
      </c>
      <c r="E136" s="30" t="s">
        <v>245</v>
      </c>
      <c r="F136" s="30" t="s">
        <v>1350</v>
      </c>
      <c r="G136" s="30" t="s">
        <v>245</v>
      </c>
      <c r="H136" s="30" t="s">
        <v>245</v>
      </c>
      <c r="J136" s="30" t="s">
        <v>2828</v>
      </c>
      <c r="K136" s="30" t="s">
        <v>1351</v>
      </c>
      <c r="L136" s="30" t="s">
        <v>1352</v>
      </c>
      <c r="M136" s="30" t="s">
        <v>245</v>
      </c>
      <c r="N136" s="30" t="s">
        <v>245</v>
      </c>
      <c r="O136" s="30" t="s">
        <v>245</v>
      </c>
      <c r="P136" s="30" t="s">
        <v>245</v>
      </c>
      <c r="Q136" s="30" t="s">
        <v>245</v>
      </c>
      <c r="R136" s="30" t="s">
        <v>245</v>
      </c>
      <c r="S136" s="30" t="s">
        <v>245</v>
      </c>
      <c r="T136" s="30" t="s">
        <v>245</v>
      </c>
      <c r="U136" s="30" t="s">
        <v>245</v>
      </c>
      <c r="V136" s="30" t="s">
        <v>245</v>
      </c>
      <c r="W136" s="30" t="s">
        <v>245</v>
      </c>
      <c r="X136" s="30" t="s">
        <v>245</v>
      </c>
      <c r="Y136" s="30" t="s">
        <v>245</v>
      </c>
      <c r="Z136" s="30" t="s">
        <v>245</v>
      </c>
      <c r="AA136" s="30" t="s">
        <v>245</v>
      </c>
      <c r="AB136" s="30" t="s">
        <v>245</v>
      </c>
      <c r="AC136" s="30" t="s">
        <v>1353</v>
      </c>
      <c r="AD136" s="30" t="s">
        <v>1354</v>
      </c>
      <c r="AE136" s="30" t="s">
        <v>245</v>
      </c>
      <c r="AF136" s="30" t="s">
        <v>245</v>
      </c>
      <c r="AG136" s="30" t="s">
        <v>245</v>
      </c>
      <c r="AH136" s="30" t="s">
        <v>245</v>
      </c>
      <c r="AI136" s="30" t="s">
        <v>245</v>
      </c>
      <c r="AJ136" s="30" t="s">
        <v>245</v>
      </c>
      <c r="AK136" s="30" t="s">
        <v>245</v>
      </c>
      <c r="AL136" s="30" t="s">
        <v>245</v>
      </c>
      <c r="AM136" s="30" t="s">
        <v>245</v>
      </c>
      <c r="AN136" s="30" t="s">
        <v>245</v>
      </c>
      <c r="AO136" s="30" t="s">
        <v>245</v>
      </c>
      <c r="AP136" s="30" t="s">
        <v>245</v>
      </c>
      <c r="AQ136" s="30" t="s">
        <v>1355</v>
      </c>
      <c r="AR136" s="30" t="s">
        <v>1356</v>
      </c>
      <c r="AS136" s="30" t="s">
        <v>245</v>
      </c>
      <c r="AT136" s="30" t="s">
        <v>245</v>
      </c>
      <c r="AU136" s="30" t="s">
        <v>245</v>
      </c>
      <c r="AV136" s="30" t="s">
        <v>1357</v>
      </c>
      <c r="AW136" s="30">
        <v>2017</v>
      </c>
      <c r="AX136" s="30">
        <v>57</v>
      </c>
      <c r="AY136" s="30" t="s">
        <v>245</v>
      </c>
      <c r="AZ136" s="30" t="s">
        <v>245</v>
      </c>
      <c r="BA136" s="30" t="s">
        <v>245</v>
      </c>
      <c r="BB136" s="30" t="s">
        <v>245</v>
      </c>
      <c r="BC136" s="30" t="s">
        <v>245</v>
      </c>
      <c r="BD136" s="30">
        <v>196</v>
      </c>
      <c r="BE136" s="30">
        <v>210</v>
      </c>
      <c r="BF136" s="30" t="s">
        <v>245</v>
      </c>
      <c r="BG136" s="30" t="s">
        <v>1358</v>
      </c>
      <c r="BH136" s="30" t="str">
        <f>HYPERLINK("http://dx.doi.org/10.1016/j.jes.2017.02.014","http://dx.doi.org/10.1016/j.jes.2017.02.014")</f>
        <v>http://dx.doi.org/10.1016/j.jes.2017.02.014</v>
      </c>
      <c r="BI136" s="30" t="s">
        <v>245</v>
      </c>
      <c r="BJ136" s="30" t="s">
        <v>245</v>
      </c>
      <c r="BK136" s="30" t="s">
        <v>245</v>
      </c>
      <c r="BL136" s="30" t="s">
        <v>245</v>
      </c>
      <c r="BM136" s="30" t="s">
        <v>245</v>
      </c>
      <c r="BN136" s="30" t="s">
        <v>245</v>
      </c>
      <c r="BO136" s="30" t="s">
        <v>245</v>
      </c>
      <c r="BP136" s="30">
        <v>28647240</v>
      </c>
      <c r="BQ136" s="30" t="s">
        <v>245</v>
      </c>
      <c r="BR136" s="30" t="s">
        <v>245</v>
      </c>
      <c r="BS136" s="30" t="s">
        <v>245</v>
      </c>
      <c r="BT136" s="30" t="s">
        <v>245</v>
      </c>
      <c r="BU136" s="30" t="s">
        <v>1359</v>
      </c>
      <c r="BV136" s="30" t="str">
        <f>HYPERLINK("https%3A%2F%2Fwww.webofscience.com%2Fwos%2Fwoscc%2Ffull-record%2FWOS:000405972600022","View Full Record in Web of Science")</f>
        <v>View Full Record in Web of Science</v>
      </c>
    </row>
    <row r="137" spans="1:74" x14ac:dyDescent="0.2">
      <c r="A137" s="30" t="s">
        <v>243</v>
      </c>
      <c r="B137" s="30" t="s">
        <v>1360</v>
      </c>
      <c r="C137" s="30" t="s">
        <v>245</v>
      </c>
      <c r="D137" s="30" t="s">
        <v>245</v>
      </c>
      <c r="E137" s="30" t="s">
        <v>245</v>
      </c>
      <c r="F137" s="30" t="s">
        <v>1361</v>
      </c>
      <c r="G137" s="30" t="s">
        <v>245</v>
      </c>
      <c r="H137" s="30" t="s">
        <v>245</v>
      </c>
      <c r="I137" s="30" t="s">
        <v>2823</v>
      </c>
      <c r="K137" s="30" t="s">
        <v>1362</v>
      </c>
      <c r="L137" s="30" t="s">
        <v>1363</v>
      </c>
      <c r="M137" s="30" t="s">
        <v>245</v>
      </c>
      <c r="N137" s="30" t="s">
        <v>245</v>
      </c>
      <c r="O137" s="30" t="s">
        <v>245</v>
      </c>
      <c r="P137" s="30" t="s">
        <v>245</v>
      </c>
      <c r="Q137" s="30" t="s">
        <v>245</v>
      </c>
      <c r="R137" s="30" t="s">
        <v>245</v>
      </c>
      <c r="S137" s="30" t="s">
        <v>245</v>
      </c>
      <c r="T137" s="30" t="s">
        <v>245</v>
      </c>
      <c r="U137" s="30" t="s">
        <v>245</v>
      </c>
      <c r="V137" s="30" t="s">
        <v>245</v>
      </c>
      <c r="W137" s="30" t="s">
        <v>245</v>
      </c>
      <c r="X137" s="30" t="s">
        <v>245</v>
      </c>
      <c r="Y137" s="30" t="s">
        <v>245</v>
      </c>
      <c r="Z137" s="30" t="s">
        <v>245</v>
      </c>
      <c r="AA137" s="30" t="s">
        <v>245</v>
      </c>
      <c r="AB137" s="30" t="s">
        <v>245</v>
      </c>
      <c r="AC137" s="30" t="s">
        <v>1364</v>
      </c>
      <c r="AD137" s="30" t="s">
        <v>1365</v>
      </c>
      <c r="AE137" s="30" t="s">
        <v>245</v>
      </c>
      <c r="AF137" s="30" t="s">
        <v>245</v>
      </c>
      <c r="AG137" s="30" t="s">
        <v>245</v>
      </c>
      <c r="AH137" s="30" t="s">
        <v>245</v>
      </c>
      <c r="AI137" s="30" t="s">
        <v>245</v>
      </c>
      <c r="AJ137" s="30" t="s">
        <v>245</v>
      </c>
      <c r="AK137" s="30" t="s">
        <v>245</v>
      </c>
      <c r="AL137" s="30" t="s">
        <v>245</v>
      </c>
      <c r="AM137" s="30" t="s">
        <v>245</v>
      </c>
      <c r="AN137" s="30" t="s">
        <v>245</v>
      </c>
      <c r="AO137" s="30" t="s">
        <v>245</v>
      </c>
      <c r="AP137" s="30" t="s">
        <v>245</v>
      </c>
      <c r="AQ137" s="30" t="s">
        <v>1366</v>
      </c>
      <c r="AR137" s="30" t="s">
        <v>1367</v>
      </c>
      <c r="AS137" s="30" t="s">
        <v>245</v>
      </c>
      <c r="AT137" s="30" t="s">
        <v>245</v>
      </c>
      <c r="AU137" s="30" t="s">
        <v>245</v>
      </c>
      <c r="AV137" s="30" t="s">
        <v>550</v>
      </c>
      <c r="AW137" s="30">
        <v>2020</v>
      </c>
      <c r="AX137" s="30">
        <v>210</v>
      </c>
      <c r="AY137" s="30" t="s">
        <v>245</v>
      </c>
      <c r="AZ137" s="30" t="s">
        <v>245</v>
      </c>
      <c r="BA137" s="30" t="s">
        <v>245</v>
      </c>
      <c r="BB137" s="30" t="s">
        <v>245</v>
      </c>
      <c r="BC137" s="30" t="s">
        <v>245</v>
      </c>
      <c r="BD137" s="30" t="s">
        <v>245</v>
      </c>
      <c r="BE137" s="30" t="s">
        <v>245</v>
      </c>
      <c r="BF137" s="30">
        <v>103387</v>
      </c>
      <c r="BG137" s="30" t="s">
        <v>1368</v>
      </c>
      <c r="BH137" s="30" t="str">
        <f>HYPERLINK("http://dx.doi.org/10.1016/j.earscirev.2020.103387","http://dx.doi.org/10.1016/j.earscirev.2020.103387")</f>
        <v>http://dx.doi.org/10.1016/j.earscirev.2020.103387</v>
      </c>
      <c r="BI137" s="30" t="s">
        <v>245</v>
      </c>
      <c r="BJ137" s="30" t="s">
        <v>245</v>
      </c>
      <c r="BK137" s="30" t="s">
        <v>245</v>
      </c>
      <c r="BL137" s="30" t="s">
        <v>245</v>
      </c>
      <c r="BM137" s="30" t="s">
        <v>245</v>
      </c>
      <c r="BN137" s="30" t="s">
        <v>245</v>
      </c>
      <c r="BO137" s="30" t="s">
        <v>245</v>
      </c>
      <c r="BP137" s="30" t="s">
        <v>245</v>
      </c>
      <c r="BQ137" s="30" t="s">
        <v>245</v>
      </c>
      <c r="BR137" s="30" t="s">
        <v>245</v>
      </c>
      <c r="BS137" s="30" t="s">
        <v>245</v>
      </c>
      <c r="BT137" s="30" t="s">
        <v>245</v>
      </c>
      <c r="BU137" s="30" t="s">
        <v>1369</v>
      </c>
      <c r="BV137" s="30" t="str">
        <f>HYPERLINK("https%3A%2F%2Fwww.webofscience.com%2Fwos%2Fwoscc%2Ffull-record%2FWOS:000588283400036","View Full Record in Web of Science")</f>
        <v>View Full Record in Web of Science</v>
      </c>
    </row>
    <row r="138" spans="1:74" x14ac:dyDescent="0.2">
      <c r="A138" s="30" t="s">
        <v>243</v>
      </c>
      <c r="B138" s="30" t="s">
        <v>1370</v>
      </c>
      <c r="C138" s="30" t="s">
        <v>245</v>
      </c>
      <c r="D138" s="30" t="s">
        <v>245</v>
      </c>
      <c r="E138" s="30" t="s">
        <v>245</v>
      </c>
      <c r="F138" s="30" t="s">
        <v>1371</v>
      </c>
      <c r="G138" s="30" t="s">
        <v>245</v>
      </c>
      <c r="H138" s="30" t="s">
        <v>245</v>
      </c>
      <c r="I138" s="30" t="s">
        <v>2823</v>
      </c>
      <c r="K138" s="30" t="s">
        <v>1372</v>
      </c>
      <c r="L138" s="30" t="s">
        <v>1373</v>
      </c>
      <c r="M138" s="30" t="s">
        <v>245</v>
      </c>
      <c r="N138" s="30" t="s">
        <v>245</v>
      </c>
      <c r="O138" s="30" t="s">
        <v>245</v>
      </c>
      <c r="P138" s="30" t="s">
        <v>245</v>
      </c>
      <c r="Q138" s="30" t="s">
        <v>245</v>
      </c>
      <c r="R138" s="30" t="s">
        <v>245</v>
      </c>
      <c r="S138" s="30" t="s">
        <v>245</v>
      </c>
      <c r="T138" s="30" t="s">
        <v>245</v>
      </c>
      <c r="U138" s="30" t="s">
        <v>245</v>
      </c>
      <c r="V138" s="30" t="s">
        <v>245</v>
      </c>
      <c r="W138" s="30" t="s">
        <v>245</v>
      </c>
      <c r="X138" s="30" t="s">
        <v>245</v>
      </c>
      <c r="Y138" s="30" t="s">
        <v>245</v>
      </c>
      <c r="Z138" s="30" t="s">
        <v>245</v>
      </c>
      <c r="AA138" s="30" t="s">
        <v>245</v>
      </c>
      <c r="AB138" s="30" t="s">
        <v>245</v>
      </c>
      <c r="AC138" s="30" t="s">
        <v>245</v>
      </c>
      <c r="AD138" s="30" t="s">
        <v>245</v>
      </c>
      <c r="AE138" s="30" t="s">
        <v>245</v>
      </c>
      <c r="AF138" s="30" t="s">
        <v>245</v>
      </c>
      <c r="AG138" s="30" t="s">
        <v>245</v>
      </c>
      <c r="AH138" s="30" t="s">
        <v>245</v>
      </c>
      <c r="AI138" s="30" t="s">
        <v>245</v>
      </c>
      <c r="AJ138" s="30" t="s">
        <v>245</v>
      </c>
      <c r="AK138" s="30" t="s">
        <v>245</v>
      </c>
      <c r="AL138" s="30" t="s">
        <v>245</v>
      </c>
      <c r="AM138" s="30" t="s">
        <v>245</v>
      </c>
      <c r="AN138" s="30" t="s">
        <v>245</v>
      </c>
      <c r="AO138" s="30" t="s">
        <v>245</v>
      </c>
      <c r="AP138" s="30" t="s">
        <v>245</v>
      </c>
      <c r="AQ138" s="30" t="s">
        <v>1374</v>
      </c>
      <c r="AR138" s="30" t="s">
        <v>1375</v>
      </c>
      <c r="AS138" s="30" t="s">
        <v>245</v>
      </c>
      <c r="AT138" s="30" t="s">
        <v>245</v>
      </c>
      <c r="AU138" s="30" t="s">
        <v>245</v>
      </c>
      <c r="AV138" s="30" t="s">
        <v>245</v>
      </c>
      <c r="AW138" s="30">
        <v>2025</v>
      </c>
      <c r="AX138" s="30">
        <v>30</v>
      </c>
      <c r="AY138" s="30" t="s">
        <v>245</v>
      </c>
      <c r="AZ138" s="30" t="s">
        <v>245</v>
      </c>
      <c r="BA138" s="30" t="s">
        <v>245</v>
      </c>
      <c r="BB138" s="30" t="s">
        <v>245</v>
      </c>
      <c r="BC138" s="30" t="s">
        <v>245</v>
      </c>
      <c r="BD138" s="30">
        <v>21</v>
      </c>
      <c r="BE138" s="30">
        <v>37</v>
      </c>
      <c r="BF138" s="30" t="s">
        <v>245</v>
      </c>
      <c r="BG138" s="30" t="s">
        <v>1376</v>
      </c>
      <c r="BH138" s="30" t="str">
        <f>HYPERLINK("http://dx.doi.org/10.58013/ber2025.d7k6-2p40","http://dx.doi.org/10.58013/ber2025.d7k6-2p40")</f>
        <v>http://dx.doi.org/10.58013/ber2025.d7k6-2p40</v>
      </c>
      <c r="BI138" s="30" t="s">
        <v>245</v>
      </c>
      <c r="BJ138" s="30" t="s">
        <v>245</v>
      </c>
      <c r="BK138" s="30" t="s">
        <v>245</v>
      </c>
      <c r="BL138" s="30" t="s">
        <v>245</v>
      </c>
      <c r="BM138" s="30" t="s">
        <v>245</v>
      </c>
      <c r="BN138" s="30" t="s">
        <v>245</v>
      </c>
      <c r="BO138" s="30" t="s">
        <v>245</v>
      </c>
      <c r="BP138" s="30" t="s">
        <v>245</v>
      </c>
      <c r="BQ138" s="30" t="s">
        <v>245</v>
      </c>
      <c r="BR138" s="30" t="s">
        <v>245</v>
      </c>
      <c r="BS138" s="30" t="s">
        <v>245</v>
      </c>
      <c r="BT138" s="30" t="s">
        <v>245</v>
      </c>
      <c r="BU138" s="30" t="s">
        <v>1377</v>
      </c>
      <c r="BV138" s="30" t="str">
        <f>HYPERLINK("https%3A%2F%2Fwww.webofscience.com%2Fwos%2Fwoscc%2Ffull-record%2FWOS:001416185600002","View Full Record in Web of Science")</f>
        <v>View Full Record in Web of Science</v>
      </c>
    </row>
    <row r="139" spans="1:74" x14ac:dyDescent="0.2">
      <c r="A139" s="30" t="s">
        <v>243</v>
      </c>
      <c r="B139" s="30" t="s">
        <v>1378</v>
      </c>
      <c r="C139" s="30" t="s">
        <v>245</v>
      </c>
      <c r="D139" s="30" t="s">
        <v>245</v>
      </c>
      <c r="E139" s="30" t="s">
        <v>245</v>
      </c>
      <c r="F139" s="30" t="s">
        <v>1379</v>
      </c>
      <c r="G139" s="30" t="s">
        <v>245</v>
      </c>
      <c r="H139" s="30" t="s">
        <v>245</v>
      </c>
      <c r="I139" s="30" t="s">
        <v>2823</v>
      </c>
      <c r="K139" s="30" t="s">
        <v>1380</v>
      </c>
      <c r="L139" s="30" t="s">
        <v>1381</v>
      </c>
      <c r="M139" s="30" t="s">
        <v>245</v>
      </c>
      <c r="N139" s="30" t="s">
        <v>245</v>
      </c>
      <c r="O139" s="30" t="s">
        <v>245</v>
      </c>
      <c r="P139" s="30" t="s">
        <v>245</v>
      </c>
      <c r="Q139" s="30" t="s">
        <v>245</v>
      </c>
      <c r="R139" s="30" t="s">
        <v>245</v>
      </c>
      <c r="S139" s="30" t="s">
        <v>245</v>
      </c>
      <c r="T139" s="30" t="s">
        <v>245</v>
      </c>
      <c r="U139" s="30" t="s">
        <v>245</v>
      </c>
      <c r="V139" s="30" t="s">
        <v>245</v>
      </c>
      <c r="W139" s="30" t="s">
        <v>245</v>
      </c>
      <c r="X139" s="30" t="s">
        <v>245</v>
      </c>
      <c r="Y139" s="30" t="s">
        <v>245</v>
      </c>
      <c r="Z139" s="30" t="s">
        <v>245</v>
      </c>
      <c r="AA139" s="30" t="s">
        <v>245</v>
      </c>
      <c r="AB139" s="30" t="s">
        <v>245</v>
      </c>
      <c r="AC139" s="30" t="s">
        <v>1382</v>
      </c>
      <c r="AD139" s="30" t="s">
        <v>1383</v>
      </c>
      <c r="AE139" s="30" t="s">
        <v>245</v>
      </c>
      <c r="AF139" s="30" t="s">
        <v>245</v>
      </c>
      <c r="AG139" s="30" t="s">
        <v>245</v>
      </c>
      <c r="AH139" s="30" t="s">
        <v>245</v>
      </c>
      <c r="AI139" s="30" t="s">
        <v>245</v>
      </c>
      <c r="AJ139" s="30" t="s">
        <v>245</v>
      </c>
      <c r="AK139" s="30" t="s">
        <v>245</v>
      </c>
      <c r="AL139" s="30" t="s">
        <v>245</v>
      </c>
      <c r="AM139" s="30" t="s">
        <v>245</v>
      </c>
      <c r="AN139" s="30" t="s">
        <v>245</v>
      </c>
      <c r="AO139" s="30" t="s">
        <v>245</v>
      </c>
      <c r="AP139" s="30" t="s">
        <v>245</v>
      </c>
      <c r="AQ139" s="30" t="s">
        <v>1384</v>
      </c>
      <c r="AR139" s="30" t="s">
        <v>1385</v>
      </c>
      <c r="AS139" s="30" t="s">
        <v>245</v>
      </c>
      <c r="AT139" s="30" t="s">
        <v>245</v>
      </c>
      <c r="AU139" s="30" t="s">
        <v>245</v>
      </c>
      <c r="AV139" s="30" t="s">
        <v>286</v>
      </c>
      <c r="AW139" s="30">
        <v>2016</v>
      </c>
      <c r="AX139" s="30">
        <v>14</v>
      </c>
      <c r="AY139" s="30">
        <v>1</v>
      </c>
      <c r="AZ139" s="30" t="s">
        <v>245</v>
      </c>
      <c r="BA139" s="30" t="s">
        <v>245</v>
      </c>
      <c r="BB139" s="30" t="s">
        <v>245</v>
      </c>
      <c r="BC139" s="30" t="s">
        <v>245</v>
      </c>
      <c r="BD139" s="30">
        <v>199</v>
      </c>
      <c r="BE139" s="30">
        <v>210</v>
      </c>
      <c r="BF139" s="30" t="s">
        <v>245</v>
      </c>
      <c r="BG139" s="30" t="s">
        <v>1386</v>
      </c>
      <c r="BH139" s="30" t="str">
        <f>HYPERLINK("http://dx.doi.org/10.1007/s10333-015-0490-2","http://dx.doi.org/10.1007/s10333-015-0490-2")</f>
        <v>http://dx.doi.org/10.1007/s10333-015-0490-2</v>
      </c>
      <c r="BI139" s="30" t="s">
        <v>245</v>
      </c>
      <c r="BJ139" s="30" t="s">
        <v>245</v>
      </c>
      <c r="BK139" s="30" t="s">
        <v>245</v>
      </c>
      <c r="BL139" s="30" t="s">
        <v>245</v>
      </c>
      <c r="BM139" s="30" t="s">
        <v>245</v>
      </c>
      <c r="BN139" s="30" t="s">
        <v>245</v>
      </c>
      <c r="BO139" s="30" t="s">
        <v>245</v>
      </c>
      <c r="BP139" s="30" t="s">
        <v>245</v>
      </c>
      <c r="BQ139" s="30" t="s">
        <v>245</v>
      </c>
      <c r="BR139" s="30" t="s">
        <v>245</v>
      </c>
      <c r="BS139" s="30" t="s">
        <v>245</v>
      </c>
      <c r="BT139" s="30" t="s">
        <v>245</v>
      </c>
      <c r="BU139" s="30" t="s">
        <v>1387</v>
      </c>
      <c r="BV139" s="30" t="str">
        <f>HYPERLINK("https%3A%2F%2Fwww.webofscience.com%2Fwos%2Fwoscc%2Ffull-record%2FWOS:000374249300017","View Full Record in Web of Science")</f>
        <v>View Full Record in Web of Science</v>
      </c>
    </row>
    <row r="140" spans="1:74" x14ac:dyDescent="0.2">
      <c r="A140" s="30" t="s">
        <v>243</v>
      </c>
      <c r="B140" s="30" t="s">
        <v>1388</v>
      </c>
      <c r="C140" s="30" t="s">
        <v>245</v>
      </c>
      <c r="D140" s="30" t="s">
        <v>245</v>
      </c>
      <c r="E140" s="30" t="s">
        <v>245</v>
      </c>
      <c r="F140" s="30" t="s">
        <v>1389</v>
      </c>
      <c r="G140" s="30" t="s">
        <v>245</v>
      </c>
      <c r="H140" s="30" t="s">
        <v>245</v>
      </c>
      <c r="I140" s="30" t="s">
        <v>2823</v>
      </c>
      <c r="K140" s="30" t="s">
        <v>1390</v>
      </c>
      <c r="L140" s="30" t="s">
        <v>413</v>
      </c>
      <c r="M140" s="30" t="s">
        <v>245</v>
      </c>
      <c r="N140" s="30" t="s">
        <v>245</v>
      </c>
      <c r="O140" s="30" t="s">
        <v>245</v>
      </c>
      <c r="P140" s="30" t="s">
        <v>245</v>
      </c>
      <c r="Q140" s="30" t="s">
        <v>245</v>
      </c>
      <c r="R140" s="30" t="s">
        <v>245</v>
      </c>
      <c r="S140" s="30" t="s">
        <v>245</v>
      </c>
      <c r="T140" s="30" t="s">
        <v>245</v>
      </c>
      <c r="U140" s="30" t="s">
        <v>245</v>
      </c>
      <c r="V140" s="30" t="s">
        <v>245</v>
      </c>
      <c r="W140" s="30" t="s">
        <v>245</v>
      </c>
      <c r="X140" s="30" t="s">
        <v>245</v>
      </c>
      <c r="Y140" s="30" t="s">
        <v>245</v>
      </c>
      <c r="Z140" s="30" t="s">
        <v>245</v>
      </c>
      <c r="AA140" s="30" t="s">
        <v>245</v>
      </c>
      <c r="AB140" s="30" t="s">
        <v>245</v>
      </c>
      <c r="AC140" s="30" t="s">
        <v>1391</v>
      </c>
      <c r="AD140" s="30" t="s">
        <v>1392</v>
      </c>
      <c r="AE140" s="30" t="s">
        <v>245</v>
      </c>
      <c r="AF140" s="30" t="s">
        <v>245</v>
      </c>
      <c r="AG140" s="30" t="s">
        <v>245</v>
      </c>
      <c r="AH140" s="30" t="s">
        <v>245</v>
      </c>
      <c r="AI140" s="30" t="s">
        <v>245</v>
      </c>
      <c r="AJ140" s="30" t="s">
        <v>245</v>
      </c>
      <c r="AK140" s="30" t="s">
        <v>245</v>
      </c>
      <c r="AL140" s="30" t="s">
        <v>245</v>
      </c>
      <c r="AM140" s="30" t="s">
        <v>245</v>
      </c>
      <c r="AN140" s="30" t="s">
        <v>245</v>
      </c>
      <c r="AO140" s="30" t="s">
        <v>245</v>
      </c>
      <c r="AP140" s="30" t="s">
        <v>245</v>
      </c>
      <c r="AQ140" s="30" t="s">
        <v>416</v>
      </c>
      <c r="AR140" s="30" t="s">
        <v>417</v>
      </c>
      <c r="AS140" s="30" t="s">
        <v>245</v>
      </c>
      <c r="AT140" s="30" t="s">
        <v>245</v>
      </c>
      <c r="AU140" s="30" t="s">
        <v>245</v>
      </c>
      <c r="AV140" s="30" t="s">
        <v>1393</v>
      </c>
      <c r="AW140" s="30">
        <v>2014</v>
      </c>
      <c r="AX140" s="30">
        <v>487</v>
      </c>
      <c r="AY140" s="30" t="s">
        <v>245</v>
      </c>
      <c r="AZ140" s="30" t="s">
        <v>245</v>
      </c>
      <c r="BA140" s="30" t="s">
        <v>245</v>
      </c>
      <c r="BB140" s="30" t="s">
        <v>245</v>
      </c>
      <c r="BC140" s="30" t="s">
        <v>245</v>
      </c>
      <c r="BD140" s="30">
        <v>91</v>
      </c>
      <c r="BE140" s="30">
        <v>96</v>
      </c>
      <c r="BF140" s="30" t="s">
        <v>245</v>
      </c>
      <c r="BG140" s="30" t="s">
        <v>1394</v>
      </c>
      <c r="BH140" s="30" t="str">
        <f>HYPERLINK("http://dx.doi.org/10.1016/j.scitotenv.2014.03.140","http://dx.doi.org/10.1016/j.scitotenv.2014.03.140")</f>
        <v>http://dx.doi.org/10.1016/j.scitotenv.2014.03.140</v>
      </c>
      <c r="BI140" s="30" t="s">
        <v>245</v>
      </c>
      <c r="BJ140" s="30" t="s">
        <v>245</v>
      </c>
      <c r="BK140" s="30" t="s">
        <v>245</v>
      </c>
      <c r="BL140" s="30" t="s">
        <v>245</v>
      </c>
      <c r="BM140" s="30" t="s">
        <v>245</v>
      </c>
      <c r="BN140" s="30" t="s">
        <v>245</v>
      </c>
      <c r="BO140" s="30" t="s">
        <v>245</v>
      </c>
      <c r="BP140" s="30">
        <v>24784732</v>
      </c>
      <c r="BQ140" s="30" t="s">
        <v>245</v>
      </c>
      <c r="BR140" s="30" t="s">
        <v>245</v>
      </c>
      <c r="BS140" s="30" t="s">
        <v>245</v>
      </c>
      <c r="BT140" s="30" t="s">
        <v>245</v>
      </c>
      <c r="BU140" s="30" t="s">
        <v>1395</v>
      </c>
      <c r="BV140" s="30" t="str">
        <f>HYPERLINK("https%3A%2F%2Fwww.webofscience.com%2Fwos%2Fwoscc%2Ffull-record%2FWOS:000337259100011","View Full Record in Web of Science")</f>
        <v>View Full Record in Web of Science</v>
      </c>
    </row>
    <row r="141" spans="1:74" x14ac:dyDescent="0.2">
      <c r="A141" s="30" t="s">
        <v>243</v>
      </c>
      <c r="B141" s="30" t="s">
        <v>1396</v>
      </c>
      <c r="C141" s="30" t="s">
        <v>245</v>
      </c>
      <c r="D141" s="30" t="s">
        <v>245</v>
      </c>
      <c r="E141" s="30" t="s">
        <v>245</v>
      </c>
      <c r="F141" s="30" t="s">
        <v>1397</v>
      </c>
      <c r="G141" s="30" t="s">
        <v>245</v>
      </c>
      <c r="H141" s="30" t="s">
        <v>245</v>
      </c>
      <c r="I141" s="30" t="s">
        <v>2819</v>
      </c>
      <c r="K141" s="30" t="s">
        <v>1398</v>
      </c>
      <c r="L141" s="30" t="s">
        <v>1399</v>
      </c>
      <c r="M141" s="30" t="s">
        <v>245</v>
      </c>
      <c r="N141" s="30" t="s">
        <v>245</v>
      </c>
      <c r="O141" s="30" t="s">
        <v>245</v>
      </c>
      <c r="P141" s="30" t="s">
        <v>245</v>
      </c>
      <c r="Q141" s="30" t="s">
        <v>245</v>
      </c>
      <c r="R141" s="30" t="s">
        <v>245</v>
      </c>
      <c r="S141" s="30" t="s">
        <v>245</v>
      </c>
      <c r="T141" s="30" t="s">
        <v>245</v>
      </c>
      <c r="U141" s="30" t="s">
        <v>245</v>
      </c>
      <c r="V141" s="30" t="s">
        <v>245</v>
      </c>
      <c r="W141" s="30" t="s">
        <v>245</v>
      </c>
      <c r="X141" s="30" t="s">
        <v>245</v>
      </c>
      <c r="Y141" s="30" t="s">
        <v>245</v>
      </c>
      <c r="Z141" s="30" t="s">
        <v>245</v>
      </c>
      <c r="AA141" s="30" t="s">
        <v>245</v>
      </c>
      <c r="AB141" s="30" t="s">
        <v>245</v>
      </c>
      <c r="AC141" s="30" t="s">
        <v>245</v>
      </c>
      <c r="AD141" s="30" t="s">
        <v>1400</v>
      </c>
      <c r="AE141" s="30" t="s">
        <v>245</v>
      </c>
      <c r="AF141" s="30" t="s">
        <v>245</v>
      </c>
      <c r="AG141" s="30" t="s">
        <v>245</v>
      </c>
      <c r="AH141" s="30" t="s">
        <v>245</v>
      </c>
      <c r="AI141" s="30" t="s">
        <v>245</v>
      </c>
      <c r="AJ141" s="30" t="s">
        <v>245</v>
      </c>
      <c r="AK141" s="30" t="s">
        <v>245</v>
      </c>
      <c r="AL141" s="30" t="s">
        <v>245</v>
      </c>
      <c r="AM141" s="30" t="s">
        <v>245</v>
      </c>
      <c r="AN141" s="30" t="s">
        <v>245</v>
      </c>
      <c r="AO141" s="30" t="s">
        <v>245</v>
      </c>
      <c r="AP141" s="30" t="s">
        <v>245</v>
      </c>
      <c r="AQ141" s="30" t="s">
        <v>245</v>
      </c>
      <c r="AR141" s="30" t="s">
        <v>1401</v>
      </c>
      <c r="AS141" s="30" t="s">
        <v>245</v>
      </c>
      <c r="AT141" s="30" t="s">
        <v>245</v>
      </c>
      <c r="AU141" s="30" t="s">
        <v>245</v>
      </c>
      <c r="AV141" s="30" t="s">
        <v>487</v>
      </c>
      <c r="AW141" s="30">
        <v>2021</v>
      </c>
      <c r="AX141" s="30">
        <v>17</v>
      </c>
      <c r="AY141" s="30" t="s">
        <v>245</v>
      </c>
      <c r="AZ141" s="30" t="s">
        <v>245</v>
      </c>
      <c r="BA141" s="30" t="s">
        <v>245</v>
      </c>
      <c r="BB141" s="30" t="s">
        <v>245</v>
      </c>
      <c r="BC141" s="30" t="s">
        <v>245</v>
      </c>
      <c r="BD141" s="30" t="s">
        <v>245</v>
      </c>
      <c r="BE141" s="30" t="s">
        <v>245</v>
      </c>
      <c r="BF141" s="30">
        <v>100283</v>
      </c>
      <c r="BG141" s="30" t="s">
        <v>1402</v>
      </c>
      <c r="BH141" s="30" t="str">
        <f>HYPERLINK("http://dx.doi.org/10.1016/j.rhisph.2020.100283","http://dx.doi.org/10.1016/j.rhisph.2020.100283")</f>
        <v>http://dx.doi.org/10.1016/j.rhisph.2020.100283</v>
      </c>
      <c r="BI141" s="30" t="s">
        <v>245</v>
      </c>
      <c r="BJ141" s="30" t="s">
        <v>245</v>
      </c>
      <c r="BK141" s="30" t="s">
        <v>245</v>
      </c>
      <c r="BL141" s="30" t="s">
        <v>245</v>
      </c>
      <c r="BM141" s="30" t="s">
        <v>245</v>
      </c>
      <c r="BN141" s="30" t="s">
        <v>245</v>
      </c>
      <c r="BO141" s="30" t="s">
        <v>245</v>
      </c>
      <c r="BP141" s="30" t="s">
        <v>245</v>
      </c>
      <c r="BQ141" s="30" t="s">
        <v>245</v>
      </c>
      <c r="BR141" s="30" t="s">
        <v>245</v>
      </c>
      <c r="BS141" s="30" t="s">
        <v>245</v>
      </c>
      <c r="BT141" s="30" t="s">
        <v>245</v>
      </c>
      <c r="BU141" s="30" t="s">
        <v>1403</v>
      </c>
      <c r="BV141" s="30" t="str">
        <f>HYPERLINK("https%3A%2F%2Fwww.webofscience.com%2Fwos%2Fwoscc%2Ffull-record%2FWOS:000621755200009","View Full Record in Web of Science")</f>
        <v>View Full Record in Web of Science</v>
      </c>
    </row>
    <row r="142" spans="1:74" x14ac:dyDescent="0.2">
      <c r="A142" s="30" t="s">
        <v>243</v>
      </c>
      <c r="B142" s="30" t="s">
        <v>1404</v>
      </c>
      <c r="C142" s="30" t="s">
        <v>245</v>
      </c>
      <c r="D142" s="30" t="s">
        <v>245</v>
      </c>
      <c r="E142" s="30" t="s">
        <v>245</v>
      </c>
      <c r="F142" s="30" t="s">
        <v>1405</v>
      </c>
      <c r="G142" s="30" t="s">
        <v>245</v>
      </c>
      <c r="H142" s="30" t="s">
        <v>245</v>
      </c>
      <c r="I142" s="30" t="s">
        <v>2821</v>
      </c>
      <c r="K142" s="30" t="s">
        <v>1406</v>
      </c>
      <c r="L142" s="30" t="s">
        <v>641</v>
      </c>
      <c r="M142" s="30" t="s">
        <v>245</v>
      </c>
      <c r="N142" s="30" t="s">
        <v>245</v>
      </c>
      <c r="O142" s="30" t="s">
        <v>245</v>
      </c>
      <c r="P142" s="30" t="s">
        <v>245</v>
      </c>
      <c r="Q142" s="30" t="s">
        <v>245</v>
      </c>
      <c r="R142" s="30" t="s">
        <v>245</v>
      </c>
      <c r="S142" s="30" t="s">
        <v>245</v>
      </c>
      <c r="T142" s="30" t="s">
        <v>245</v>
      </c>
      <c r="U142" s="30" t="s">
        <v>245</v>
      </c>
      <c r="V142" s="30" t="s">
        <v>245</v>
      </c>
      <c r="W142" s="30" t="s">
        <v>245</v>
      </c>
      <c r="X142" s="30" t="s">
        <v>245</v>
      </c>
      <c r="Y142" s="30" t="s">
        <v>245</v>
      </c>
      <c r="Z142" s="30" t="s">
        <v>245</v>
      </c>
      <c r="AA142" s="30" t="s">
        <v>245</v>
      </c>
      <c r="AB142" s="30" t="s">
        <v>245</v>
      </c>
      <c r="AC142" s="30" t="s">
        <v>245</v>
      </c>
      <c r="AD142" s="30" t="s">
        <v>245</v>
      </c>
      <c r="AE142" s="30" t="s">
        <v>245</v>
      </c>
      <c r="AF142" s="30" t="s">
        <v>245</v>
      </c>
      <c r="AG142" s="30" t="s">
        <v>245</v>
      </c>
      <c r="AH142" s="30" t="s">
        <v>245</v>
      </c>
      <c r="AI142" s="30" t="s">
        <v>245</v>
      </c>
      <c r="AJ142" s="30" t="s">
        <v>245</v>
      </c>
      <c r="AK142" s="30" t="s">
        <v>245</v>
      </c>
      <c r="AL142" s="30" t="s">
        <v>245</v>
      </c>
      <c r="AM142" s="30" t="s">
        <v>245</v>
      </c>
      <c r="AN142" s="30" t="s">
        <v>245</v>
      </c>
      <c r="AO142" s="30" t="s">
        <v>245</v>
      </c>
      <c r="AP142" s="30" t="s">
        <v>245</v>
      </c>
      <c r="AQ142" s="30" t="s">
        <v>644</v>
      </c>
      <c r="AR142" s="30" t="s">
        <v>645</v>
      </c>
      <c r="AS142" s="30" t="s">
        <v>245</v>
      </c>
      <c r="AT142" s="30" t="s">
        <v>245</v>
      </c>
      <c r="AU142" s="30" t="s">
        <v>245</v>
      </c>
      <c r="AV142" s="30" t="s">
        <v>814</v>
      </c>
      <c r="AW142" s="30">
        <v>2013</v>
      </c>
      <c r="AX142" s="30">
        <v>42</v>
      </c>
      <c r="AY142" s="30">
        <v>4</v>
      </c>
      <c r="AZ142" s="30" t="s">
        <v>245</v>
      </c>
      <c r="BA142" s="30" t="s">
        <v>245</v>
      </c>
      <c r="BB142" s="30" t="s">
        <v>245</v>
      </c>
      <c r="BC142" s="30" t="s">
        <v>245</v>
      </c>
      <c r="BD142" s="30">
        <v>1100</v>
      </c>
      <c r="BE142" s="30">
        <v>1108</v>
      </c>
      <c r="BF142" s="30" t="s">
        <v>245</v>
      </c>
      <c r="BG142" s="30" t="s">
        <v>1407</v>
      </c>
      <c r="BH142" s="30" t="str">
        <f>HYPERLINK("http://dx.doi.org/10.2134/jeq2012.0486","http://dx.doi.org/10.2134/jeq2012.0486")</f>
        <v>http://dx.doi.org/10.2134/jeq2012.0486</v>
      </c>
      <c r="BI142" s="30" t="s">
        <v>245</v>
      </c>
      <c r="BJ142" s="30" t="s">
        <v>245</v>
      </c>
      <c r="BK142" s="30" t="s">
        <v>245</v>
      </c>
      <c r="BL142" s="30" t="s">
        <v>245</v>
      </c>
      <c r="BM142" s="30" t="s">
        <v>245</v>
      </c>
      <c r="BN142" s="30" t="s">
        <v>245</v>
      </c>
      <c r="BO142" s="30" t="s">
        <v>245</v>
      </c>
      <c r="BP142" s="30">
        <v>24216361</v>
      </c>
      <c r="BQ142" s="30" t="s">
        <v>245</v>
      </c>
      <c r="BR142" s="30" t="s">
        <v>245</v>
      </c>
      <c r="BS142" s="30" t="s">
        <v>245</v>
      </c>
      <c r="BT142" s="30" t="s">
        <v>245</v>
      </c>
      <c r="BU142" s="30" t="s">
        <v>1408</v>
      </c>
      <c r="BV142" s="30" t="str">
        <f>HYPERLINK("https%3A%2F%2Fwww.webofscience.com%2Fwos%2Fwoscc%2Ffull-record%2FWOS:000321822300016","View Full Record in Web of Science")</f>
        <v>View Full Record in Web of Science</v>
      </c>
    </row>
    <row r="143" spans="1:74" x14ac:dyDescent="0.2">
      <c r="A143" s="30" t="s">
        <v>243</v>
      </c>
      <c r="B143" s="30" t="s">
        <v>1409</v>
      </c>
      <c r="C143" s="30" t="s">
        <v>245</v>
      </c>
      <c r="D143" s="30" t="s">
        <v>245</v>
      </c>
      <c r="E143" s="30" t="s">
        <v>245</v>
      </c>
      <c r="F143" s="30" t="s">
        <v>1410</v>
      </c>
      <c r="G143" s="30" t="s">
        <v>245</v>
      </c>
      <c r="H143" s="30" t="s">
        <v>245</v>
      </c>
      <c r="I143" s="30" t="s">
        <v>2822</v>
      </c>
      <c r="K143" s="30" t="s">
        <v>1411</v>
      </c>
      <c r="L143" s="30" t="s">
        <v>541</v>
      </c>
      <c r="M143" s="30" t="s">
        <v>245</v>
      </c>
      <c r="N143" s="30" t="s">
        <v>245</v>
      </c>
      <c r="O143" s="30" t="s">
        <v>245</v>
      </c>
      <c r="P143" s="30" t="s">
        <v>245</v>
      </c>
      <c r="Q143" s="30" t="s">
        <v>245</v>
      </c>
      <c r="R143" s="30" t="s">
        <v>245</v>
      </c>
      <c r="S143" s="30" t="s">
        <v>245</v>
      </c>
      <c r="T143" s="30" t="s">
        <v>245</v>
      </c>
      <c r="U143" s="30" t="s">
        <v>245</v>
      </c>
      <c r="V143" s="30" t="s">
        <v>245</v>
      </c>
      <c r="W143" s="30" t="s">
        <v>245</v>
      </c>
      <c r="X143" s="30" t="s">
        <v>245</v>
      </c>
      <c r="Y143" s="30" t="s">
        <v>245</v>
      </c>
      <c r="Z143" s="30" t="s">
        <v>245</v>
      </c>
      <c r="AA143" s="30" t="s">
        <v>245</v>
      </c>
      <c r="AB143" s="30" t="s">
        <v>245</v>
      </c>
      <c r="AC143" s="30" t="s">
        <v>1412</v>
      </c>
      <c r="AD143" s="30" t="s">
        <v>1413</v>
      </c>
      <c r="AE143" s="30" t="s">
        <v>245</v>
      </c>
      <c r="AF143" s="30" t="s">
        <v>245</v>
      </c>
      <c r="AG143" s="30" t="s">
        <v>245</v>
      </c>
      <c r="AH143" s="30" t="s">
        <v>245</v>
      </c>
      <c r="AI143" s="30" t="s">
        <v>245</v>
      </c>
      <c r="AJ143" s="30" t="s">
        <v>245</v>
      </c>
      <c r="AK143" s="30" t="s">
        <v>245</v>
      </c>
      <c r="AL143" s="30" t="s">
        <v>245</v>
      </c>
      <c r="AM143" s="30" t="s">
        <v>245</v>
      </c>
      <c r="AN143" s="30" t="s">
        <v>245</v>
      </c>
      <c r="AO143" s="30" t="s">
        <v>245</v>
      </c>
      <c r="AP143" s="30" t="s">
        <v>245</v>
      </c>
      <c r="AQ143" s="30" t="s">
        <v>544</v>
      </c>
      <c r="AR143" s="30" t="s">
        <v>545</v>
      </c>
      <c r="AS143" s="30" t="s">
        <v>245</v>
      </c>
      <c r="AT143" s="30" t="s">
        <v>245</v>
      </c>
      <c r="AU143" s="30" t="s">
        <v>245</v>
      </c>
      <c r="AV143" s="30" t="s">
        <v>474</v>
      </c>
      <c r="AW143" s="30">
        <v>2020</v>
      </c>
      <c r="AX143" s="30">
        <v>290</v>
      </c>
      <c r="AY143" s="30" t="s">
        <v>245</v>
      </c>
      <c r="AZ143" s="30" t="s">
        <v>245</v>
      </c>
      <c r="BA143" s="30" t="s">
        <v>245</v>
      </c>
      <c r="BB143" s="30" t="s">
        <v>245</v>
      </c>
      <c r="BC143" s="30" t="s">
        <v>245</v>
      </c>
      <c r="BD143" s="30" t="s">
        <v>245</v>
      </c>
      <c r="BE143" s="30" t="s">
        <v>245</v>
      </c>
      <c r="BF143" s="30">
        <v>106725</v>
      </c>
      <c r="BG143" s="30" t="s">
        <v>1414</v>
      </c>
      <c r="BH143" s="30" t="str">
        <f>HYPERLINK("http://dx.doi.org/10.1016/j.agee.2019.106725","http://dx.doi.org/10.1016/j.agee.2019.106725")</f>
        <v>http://dx.doi.org/10.1016/j.agee.2019.106725</v>
      </c>
      <c r="BI143" s="30" t="s">
        <v>245</v>
      </c>
      <c r="BJ143" s="30" t="s">
        <v>245</v>
      </c>
      <c r="BK143" s="30" t="s">
        <v>245</v>
      </c>
      <c r="BL143" s="30" t="s">
        <v>245</v>
      </c>
      <c r="BM143" s="30" t="s">
        <v>245</v>
      </c>
      <c r="BN143" s="30" t="s">
        <v>245</v>
      </c>
      <c r="BO143" s="30" t="s">
        <v>245</v>
      </c>
      <c r="BP143" s="30" t="s">
        <v>245</v>
      </c>
      <c r="BQ143" s="30" t="s">
        <v>245</v>
      </c>
      <c r="BR143" s="30" t="s">
        <v>245</v>
      </c>
      <c r="BS143" s="30" t="s">
        <v>245</v>
      </c>
      <c r="BT143" s="30" t="s">
        <v>245</v>
      </c>
      <c r="BU143" s="30" t="s">
        <v>1415</v>
      </c>
      <c r="BV143" s="30" t="str">
        <f>HYPERLINK("https%3A%2F%2Fwww.webofscience.com%2Fwos%2Fwoscc%2Ffull-record%2FWOS:000514929300002","View Full Record in Web of Science")</f>
        <v>View Full Record in Web of Science</v>
      </c>
    </row>
    <row r="144" spans="1:74" x14ac:dyDescent="0.2">
      <c r="A144" s="30" t="s">
        <v>243</v>
      </c>
      <c r="B144" s="30" t="s">
        <v>1416</v>
      </c>
      <c r="C144" s="30" t="s">
        <v>245</v>
      </c>
      <c r="D144" s="30" t="s">
        <v>245</v>
      </c>
      <c r="E144" s="30" t="s">
        <v>245</v>
      </c>
      <c r="F144" s="30" t="s">
        <v>1416</v>
      </c>
      <c r="G144" s="30" t="s">
        <v>245</v>
      </c>
      <c r="H144" s="30" t="s">
        <v>245</v>
      </c>
      <c r="I144" s="30" t="s">
        <v>2823</v>
      </c>
      <c r="K144" s="30" t="s">
        <v>1417</v>
      </c>
      <c r="L144" s="30" t="s">
        <v>1015</v>
      </c>
      <c r="M144" s="30" t="s">
        <v>245</v>
      </c>
      <c r="N144" s="30" t="s">
        <v>245</v>
      </c>
      <c r="O144" s="30" t="s">
        <v>245</v>
      </c>
      <c r="P144" s="30" t="s">
        <v>245</v>
      </c>
      <c r="Q144" s="30" t="s">
        <v>245</v>
      </c>
      <c r="R144" s="30" t="s">
        <v>245</v>
      </c>
      <c r="S144" s="30" t="s">
        <v>245</v>
      </c>
      <c r="T144" s="30" t="s">
        <v>245</v>
      </c>
      <c r="U144" s="30" t="s">
        <v>245</v>
      </c>
      <c r="V144" s="30" t="s">
        <v>245</v>
      </c>
      <c r="W144" s="30" t="s">
        <v>245</v>
      </c>
      <c r="X144" s="30" t="s">
        <v>245</v>
      </c>
      <c r="Y144" s="30" t="s">
        <v>245</v>
      </c>
      <c r="Z144" s="30" t="s">
        <v>245</v>
      </c>
      <c r="AA144" s="30" t="s">
        <v>245</v>
      </c>
      <c r="AB144" s="30" t="s">
        <v>245</v>
      </c>
      <c r="AC144" s="30" t="s">
        <v>245</v>
      </c>
      <c r="AD144" s="30" t="s">
        <v>245</v>
      </c>
      <c r="AE144" s="30" t="s">
        <v>245</v>
      </c>
      <c r="AF144" s="30" t="s">
        <v>245</v>
      </c>
      <c r="AG144" s="30" t="s">
        <v>245</v>
      </c>
      <c r="AH144" s="30" t="s">
        <v>245</v>
      </c>
      <c r="AI144" s="30" t="s">
        <v>245</v>
      </c>
      <c r="AJ144" s="30" t="s">
        <v>245</v>
      </c>
      <c r="AK144" s="30" t="s">
        <v>245</v>
      </c>
      <c r="AL144" s="30" t="s">
        <v>245</v>
      </c>
      <c r="AM144" s="30" t="s">
        <v>245</v>
      </c>
      <c r="AN144" s="30" t="s">
        <v>245</v>
      </c>
      <c r="AO144" s="30" t="s">
        <v>245</v>
      </c>
      <c r="AP144" s="30" t="s">
        <v>245</v>
      </c>
      <c r="AQ144" s="30" t="s">
        <v>1018</v>
      </c>
      <c r="AR144" s="30" t="s">
        <v>245</v>
      </c>
      <c r="AS144" s="30" t="s">
        <v>245</v>
      </c>
      <c r="AT144" s="30" t="s">
        <v>245</v>
      </c>
      <c r="AU144" s="30" t="s">
        <v>245</v>
      </c>
      <c r="AV144" s="30" t="s">
        <v>354</v>
      </c>
      <c r="AW144" s="30">
        <v>2001</v>
      </c>
      <c r="AX144" s="30">
        <v>53</v>
      </c>
      <c r="AY144" s="30">
        <v>2</v>
      </c>
      <c r="AZ144" s="30" t="s">
        <v>245</v>
      </c>
      <c r="BA144" s="30" t="s">
        <v>245</v>
      </c>
      <c r="BB144" s="30" t="s">
        <v>245</v>
      </c>
      <c r="BC144" s="30" t="s">
        <v>245</v>
      </c>
      <c r="BD144" s="30">
        <v>143</v>
      </c>
      <c r="BE144" s="30">
        <v>160</v>
      </c>
      <c r="BF144" s="30" t="s">
        <v>245</v>
      </c>
      <c r="BG144" s="30" t="s">
        <v>1418</v>
      </c>
      <c r="BH144" s="30" t="str">
        <f>HYPERLINK("http://dx.doi.org/10.1023/A:1010774610050","http://dx.doi.org/10.1023/A:1010774610050")</f>
        <v>http://dx.doi.org/10.1023/A:1010774610050</v>
      </c>
      <c r="BI144" s="30" t="s">
        <v>245</v>
      </c>
      <c r="BJ144" s="30" t="s">
        <v>245</v>
      </c>
      <c r="BK144" s="30" t="s">
        <v>245</v>
      </c>
      <c r="BL144" s="30" t="s">
        <v>245</v>
      </c>
      <c r="BM144" s="30" t="s">
        <v>245</v>
      </c>
      <c r="BN144" s="30" t="s">
        <v>245</v>
      </c>
      <c r="BO144" s="30" t="s">
        <v>245</v>
      </c>
      <c r="BP144" s="30" t="s">
        <v>245</v>
      </c>
      <c r="BQ144" s="30" t="s">
        <v>245</v>
      </c>
      <c r="BR144" s="30" t="s">
        <v>245</v>
      </c>
      <c r="BS144" s="30" t="s">
        <v>245</v>
      </c>
      <c r="BT144" s="30" t="s">
        <v>245</v>
      </c>
      <c r="BU144" s="30" t="s">
        <v>1419</v>
      </c>
      <c r="BV144" s="30" t="str">
        <f>HYPERLINK("https%3A%2F%2Fwww.webofscience.com%2Fwos%2Fwoscc%2Ffull-record%2FWOS:000167922000002","View Full Record in Web of Science")</f>
        <v>View Full Record in Web of Science</v>
      </c>
    </row>
    <row r="145" spans="1:74" x14ac:dyDescent="0.2">
      <c r="A145" s="30" t="s">
        <v>243</v>
      </c>
      <c r="B145" s="30" t="s">
        <v>1420</v>
      </c>
      <c r="C145" s="30" t="s">
        <v>245</v>
      </c>
      <c r="D145" s="30" t="s">
        <v>245</v>
      </c>
      <c r="E145" s="30" t="s">
        <v>245</v>
      </c>
      <c r="F145" s="30" t="s">
        <v>1421</v>
      </c>
      <c r="G145" s="30" t="s">
        <v>245</v>
      </c>
      <c r="H145" s="30" t="s">
        <v>245</v>
      </c>
      <c r="J145" s="30" t="s">
        <v>2825</v>
      </c>
      <c r="K145" s="30" t="s">
        <v>1422</v>
      </c>
      <c r="L145" s="30" t="s">
        <v>758</v>
      </c>
      <c r="M145" s="30" t="s">
        <v>245</v>
      </c>
      <c r="N145" s="30" t="s">
        <v>245</v>
      </c>
      <c r="O145" s="30" t="s">
        <v>245</v>
      </c>
      <c r="P145" s="30" t="s">
        <v>245</v>
      </c>
      <c r="Q145" s="30" t="s">
        <v>245</v>
      </c>
      <c r="R145" s="30" t="s">
        <v>245</v>
      </c>
      <c r="S145" s="30" t="s">
        <v>245</v>
      </c>
      <c r="T145" s="30" t="s">
        <v>245</v>
      </c>
      <c r="U145" s="30" t="s">
        <v>245</v>
      </c>
      <c r="V145" s="30" t="s">
        <v>245</v>
      </c>
      <c r="W145" s="30" t="s">
        <v>245</v>
      </c>
      <c r="X145" s="30" t="s">
        <v>245</v>
      </c>
      <c r="Y145" s="30" t="s">
        <v>245</v>
      </c>
      <c r="Z145" s="30" t="s">
        <v>245</v>
      </c>
      <c r="AA145" s="30" t="s">
        <v>245</v>
      </c>
      <c r="AB145" s="30" t="s">
        <v>245</v>
      </c>
      <c r="AC145" s="30" t="s">
        <v>245</v>
      </c>
      <c r="AD145" s="30" t="s">
        <v>1423</v>
      </c>
      <c r="AE145" s="30" t="s">
        <v>245</v>
      </c>
      <c r="AF145" s="30" t="s">
        <v>245</v>
      </c>
      <c r="AG145" s="30" t="s">
        <v>245</v>
      </c>
      <c r="AH145" s="30" t="s">
        <v>245</v>
      </c>
      <c r="AI145" s="30" t="s">
        <v>245</v>
      </c>
      <c r="AJ145" s="30" t="s">
        <v>245</v>
      </c>
      <c r="AK145" s="30" t="s">
        <v>245</v>
      </c>
      <c r="AL145" s="30" t="s">
        <v>245</v>
      </c>
      <c r="AM145" s="30" t="s">
        <v>245</v>
      </c>
      <c r="AN145" s="30" t="s">
        <v>245</v>
      </c>
      <c r="AO145" s="30" t="s">
        <v>245</v>
      </c>
      <c r="AP145" s="30" t="s">
        <v>245</v>
      </c>
      <c r="AQ145" s="30" t="s">
        <v>759</v>
      </c>
      <c r="AR145" s="30" t="s">
        <v>822</v>
      </c>
      <c r="AS145" s="30" t="s">
        <v>245</v>
      </c>
      <c r="AT145" s="30" t="s">
        <v>245</v>
      </c>
      <c r="AU145" s="30" t="s">
        <v>245</v>
      </c>
      <c r="AV145" s="30" t="s">
        <v>297</v>
      </c>
      <c r="AW145" s="30">
        <v>2022</v>
      </c>
      <c r="AX145" s="30">
        <v>58</v>
      </c>
      <c r="AY145" s="30">
        <v>7</v>
      </c>
      <c r="AZ145" s="30" t="s">
        <v>245</v>
      </c>
      <c r="BA145" s="30" t="s">
        <v>245</v>
      </c>
      <c r="BB145" s="30" t="s">
        <v>245</v>
      </c>
      <c r="BC145" s="30" t="s">
        <v>245</v>
      </c>
      <c r="BD145" s="30">
        <v>771</v>
      </c>
      <c r="BE145" s="30">
        <v>788</v>
      </c>
      <c r="BF145" s="30" t="s">
        <v>245</v>
      </c>
      <c r="BG145" s="30" t="s">
        <v>1424</v>
      </c>
      <c r="BH145" s="30" t="str">
        <f>HYPERLINK("http://dx.doi.org/10.1007/s00374-022-01662-9","http://dx.doi.org/10.1007/s00374-022-01662-9")</f>
        <v>http://dx.doi.org/10.1007/s00374-022-01662-9</v>
      </c>
      <c r="BI145" s="30" t="s">
        <v>245</v>
      </c>
      <c r="BJ145" s="30" t="s">
        <v>1425</v>
      </c>
      <c r="BK145" s="30" t="s">
        <v>245</v>
      </c>
      <c r="BL145" s="30" t="s">
        <v>245</v>
      </c>
      <c r="BM145" s="30" t="s">
        <v>245</v>
      </c>
      <c r="BN145" s="30" t="s">
        <v>245</v>
      </c>
      <c r="BO145" s="30" t="s">
        <v>245</v>
      </c>
      <c r="BP145" s="30" t="s">
        <v>245</v>
      </c>
      <c r="BQ145" s="30" t="s">
        <v>245</v>
      </c>
      <c r="BR145" s="30" t="s">
        <v>245</v>
      </c>
      <c r="BS145" s="30" t="s">
        <v>245</v>
      </c>
      <c r="BT145" s="30" t="s">
        <v>245</v>
      </c>
      <c r="BU145" s="30" t="s">
        <v>1426</v>
      </c>
      <c r="BV145" s="30" t="str">
        <f>HYPERLINK("https%3A%2F%2Fwww.webofscience.com%2Fwos%2Fwoscc%2Ffull-record%2FWOS:000849179500002","View Full Record in Web of Science")</f>
        <v>View Full Record in Web of Science</v>
      </c>
    </row>
    <row r="146" spans="1:74" x14ac:dyDescent="0.2">
      <c r="A146" s="30" t="s">
        <v>243</v>
      </c>
      <c r="B146" s="30" t="s">
        <v>1427</v>
      </c>
      <c r="C146" s="30" t="s">
        <v>245</v>
      </c>
      <c r="D146" s="30" t="s">
        <v>245</v>
      </c>
      <c r="E146" s="30" t="s">
        <v>245</v>
      </c>
      <c r="F146" s="30" t="s">
        <v>1427</v>
      </c>
      <c r="G146" s="30" t="s">
        <v>245</v>
      </c>
      <c r="H146" s="30" t="s">
        <v>245</v>
      </c>
      <c r="I146" s="30" t="s">
        <v>2823</v>
      </c>
      <c r="K146" s="30" t="s">
        <v>1428</v>
      </c>
      <c r="L146" s="30" t="s">
        <v>691</v>
      </c>
      <c r="M146" s="30" t="s">
        <v>245</v>
      </c>
      <c r="N146" s="30" t="s">
        <v>245</v>
      </c>
      <c r="O146" s="30" t="s">
        <v>245</v>
      </c>
      <c r="P146" s="30" t="s">
        <v>245</v>
      </c>
      <c r="Q146" s="30" t="s">
        <v>245</v>
      </c>
      <c r="R146" s="30" t="s">
        <v>245</v>
      </c>
      <c r="S146" s="30" t="s">
        <v>245</v>
      </c>
      <c r="T146" s="30" t="s">
        <v>245</v>
      </c>
      <c r="U146" s="30" t="s">
        <v>245</v>
      </c>
      <c r="V146" s="30" t="s">
        <v>245</v>
      </c>
      <c r="W146" s="30" t="s">
        <v>245</v>
      </c>
      <c r="X146" s="30" t="s">
        <v>245</v>
      </c>
      <c r="Y146" s="30" t="s">
        <v>245</v>
      </c>
      <c r="Z146" s="30" t="s">
        <v>245</v>
      </c>
      <c r="AA146" s="30" t="s">
        <v>245</v>
      </c>
      <c r="AB146" s="30" t="s">
        <v>245</v>
      </c>
      <c r="AC146" s="30" t="s">
        <v>351</v>
      </c>
      <c r="AD146" s="30" t="s">
        <v>245</v>
      </c>
      <c r="AE146" s="30" t="s">
        <v>245</v>
      </c>
      <c r="AF146" s="30" t="s">
        <v>245</v>
      </c>
      <c r="AG146" s="30" t="s">
        <v>245</v>
      </c>
      <c r="AH146" s="30" t="s">
        <v>245</v>
      </c>
      <c r="AI146" s="30" t="s">
        <v>245</v>
      </c>
      <c r="AJ146" s="30" t="s">
        <v>245</v>
      </c>
      <c r="AK146" s="30" t="s">
        <v>245</v>
      </c>
      <c r="AL146" s="30" t="s">
        <v>245</v>
      </c>
      <c r="AM146" s="30" t="s">
        <v>245</v>
      </c>
      <c r="AN146" s="30" t="s">
        <v>245</v>
      </c>
      <c r="AO146" s="30" t="s">
        <v>245</v>
      </c>
      <c r="AP146" s="30" t="s">
        <v>245</v>
      </c>
      <c r="AQ146" s="30" t="s">
        <v>692</v>
      </c>
      <c r="AR146" s="30" t="s">
        <v>245</v>
      </c>
      <c r="AS146" s="30" t="s">
        <v>245</v>
      </c>
      <c r="AT146" s="30" t="s">
        <v>245</v>
      </c>
      <c r="AU146" s="30" t="s">
        <v>245</v>
      </c>
      <c r="AV146" s="30" t="s">
        <v>1429</v>
      </c>
      <c r="AW146" s="30">
        <v>2003</v>
      </c>
      <c r="AX146" s="30">
        <v>84</v>
      </c>
      <c r="AY146" s="30">
        <v>10</v>
      </c>
      <c r="AZ146" s="30" t="s">
        <v>245</v>
      </c>
      <c r="BA146" s="30" t="s">
        <v>245</v>
      </c>
      <c r="BB146" s="30" t="s">
        <v>245</v>
      </c>
      <c r="BC146" s="30" t="s">
        <v>245</v>
      </c>
      <c r="BD146" s="30">
        <v>1317</v>
      </c>
      <c r="BE146" s="30">
        <v>1326</v>
      </c>
      <c r="BF146" s="30" t="s">
        <v>245</v>
      </c>
      <c r="BG146" s="30" t="s">
        <v>245</v>
      </c>
      <c r="BH146" s="30" t="s">
        <v>245</v>
      </c>
      <c r="BI146" s="30" t="s">
        <v>245</v>
      </c>
      <c r="BJ146" s="30" t="s">
        <v>245</v>
      </c>
      <c r="BK146" s="30" t="s">
        <v>245</v>
      </c>
      <c r="BL146" s="30" t="s">
        <v>245</v>
      </c>
      <c r="BM146" s="30" t="s">
        <v>245</v>
      </c>
      <c r="BN146" s="30" t="s">
        <v>245</v>
      </c>
      <c r="BO146" s="30" t="s">
        <v>245</v>
      </c>
      <c r="BP146" s="30" t="s">
        <v>245</v>
      </c>
      <c r="BQ146" s="30" t="s">
        <v>245</v>
      </c>
      <c r="BR146" s="30" t="s">
        <v>245</v>
      </c>
      <c r="BS146" s="30" t="s">
        <v>245</v>
      </c>
      <c r="BT146" s="30" t="s">
        <v>245</v>
      </c>
      <c r="BU146" s="30" t="s">
        <v>1430</v>
      </c>
      <c r="BV146" s="30" t="str">
        <f>HYPERLINK("https%3A%2F%2Fwww.webofscience.com%2Fwos%2Fwoscc%2Ffull-record%2FWOS:000183509600019","View Full Record in Web of Science")</f>
        <v>View Full Record in Web of Science</v>
      </c>
    </row>
    <row r="147" spans="1:74" x14ac:dyDescent="0.2">
      <c r="A147" s="30" t="s">
        <v>243</v>
      </c>
      <c r="B147" s="30" t="s">
        <v>1431</v>
      </c>
      <c r="C147" s="30" t="s">
        <v>245</v>
      </c>
      <c r="D147" s="30" t="s">
        <v>245</v>
      </c>
      <c r="E147" s="30" t="s">
        <v>245</v>
      </c>
      <c r="F147" s="30" t="s">
        <v>1431</v>
      </c>
      <c r="G147" s="30" t="s">
        <v>245</v>
      </c>
      <c r="H147" s="30" t="s">
        <v>245</v>
      </c>
      <c r="I147" s="30" t="s">
        <v>2826</v>
      </c>
      <c r="K147" s="30" t="s">
        <v>1432</v>
      </c>
      <c r="L147" s="30" t="s">
        <v>875</v>
      </c>
      <c r="M147" s="30" t="s">
        <v>245</v>
      </c>
      <c r="N147" s="30" t="s">
        <v>245</v>
      </c>
      <c r="O147" s="30" t="s">
        <v>245</v>
      </c>
      <c r="P147" s="30" t="s">
        <v>245</v>
      </c>
      <c r="Q147" s="30" t="s">
        <v>245</v>
      </c>
      <c r="R147" s="30" t="s">
        <v>245</v>
      </c>
      <c r="S147" s="30" t="s">
        <v>245</v>
      </c>
      <c r="T147" s="30" t="s">
        <v>245</v>
      </c>
      <c r="U147" s="30" t="s">
        <v>245</v>
      </c>
      <c r="V147" s="30" t="s">
        <v>245</v>
      </c>
      <c r="W147" s="30" t="s">
        <v>245</v>
      </c>
      <c r="X147" s="30" t="s">
        <v>245</v>
      </c>
      <c r="Y147" s="30" t="s">
        <v>245</v>
      </c>
      <c r="Z147" s="30" t="s">
        <v>245</v>
      </c>
      <c r="AA147" s="30" t="s">
        <v>245</v>
      </c>
      <c r="AB147" s="30" t="s">
        <v>245</v>
      </c>
      <c r="AC147" s="30" t="s">
        <v>245</v>
      </c>
      <c r="AD147" s="30" t="s">
        <v>245</v>
      </c>
      <c r="AE147" s="30" t="s">
        <v>245</v>
      </c>
      <c r="AF147" s="30" t="s">
        <v>245</v>
      </c>
      <c r="AG147" s="30" t="s">
        <v>245</v>
      </c>
      <c r="AH147" s="30" t="s">
        <v>245</v>
      </c>
      <c r="AI147" s="30" t="s">
        <v>245</v>
      </c>
      <c r="AJ147" s="30" t="s">
        <v>245</v>
      </c>
      <c r="AK147" s="30" t="s">
        <v>245</v>
      </c>
      <c r="AL147" s="30" t="s">
        <v>245</v>
      </c>
      <c r="AM147" s="30" t="s">
        <v>245</v>
      </c>
      <c r="AN147" s="30" t="s">
        <v>245</v>
      </c>
      <c r="AO147" s="30" t="s">
        <v>245</v>
      </c>
      <c r="AP147" s="30" t="s">
        <v>245</v>
      </c>
      <c r="AQ147" s="30" t="s">
        <v>878</v>
      </c>
      <c r="AR147" s="30" t="s">
        <v>245</v>
      </c>
      <c r="AS147" s="30" t="s">
        <v>245</v>
      </c>
      <c r="AT147" s="30" t="s">
        <v>245</v>
      </c>
      <c r="AU147" s="30" t="s">
        <v>245</v>
      </c>
      <c r="AV147" s="30" t="s">
        <v>481</v>
      </c>
      <c r="AW147" s="30">
        <v>1997</v>
      </c>
      <c r="AX147" s="30">
        <v>24</v>
      </c>
      <c r="AY147" s="30">
        <v>4</v>
      </c>
      <c r="AZ147" s="30" t="s">
        <v>245</v>
      </c>
      <c r="BA147" s="30" t="s">
        <v>245</v>
      </c>
      <c r="BB147" s="30" t="s">
        <v>245</v>
      </c>
      <c r="BC147" s="30" t="s">
        <v>245</v>
      </c>
      <c r="BD147" s="30">
        <v>311</v>
      </c>
      <c r="BE147" s="30">
        <v>320</v>
      </c>
      <c r="BF147" s="30" t="s">
        <v>245</v>
      </c>
      <c r="BG147" s="30" t="s">
        <v>1433</v>
      </c>
      <c r="BH147" s="30" t="str">
        <f>HYPERLINK("http://dx.doi.org/10.1016/S0168-6496(97)00072-X","http://dx.doi.org/10.1016/S0168-6496(97)00072-X")</f>
        <v>http://dx.doi.org/10.1016/S0168-6496(97)00072-X</v>
      </c>
      <c r="BI147" s="30" t="s">
        <v>245</v>
      </c>
      <c r="BJ147" s="30" t="s">
        <v>245</v>
      </c>
      <c r="BK147" s="30" t="s">
        <v>245</v>
      </c>
      <c r="BL147" s="30" t="s">
        <v>245</v>
      </c>
      <c r="BM147" s="30" t="s">
        <v>245</v>
      </c>
      <c r="BN147" s="30" t="s">
        <v>245</v>
      </c>
      <c r="BO147" s="30" t="s">
        <v>245</v>
      </c>
      <c r="BP147" s="30" t="s">
        <v>245</v>
      </c>
      <c r="BQ147" s="30" t="s">
        <v>245</v>
      </c>
      <c r="BR147" s="30" t="s">
        <v>245</v>
      </c>
      <c r="BS147" s="30" t="s">
        <v>245</v>
      </c>
      <c r="BT147" s="30" t="s">
        <v>245</v>
      </c>
      <c r="BU147" s="30" t="s">
        <v>1434</v>
      </c>
      <c r="BV147" s="30" t="str">
        <f>HYPERLINK("https%3A%2F%2Fwww.webofscience.com%2Fwos%2Fwoscc%2Ffull-record%2FWOS:000071142700003","View Full Record in Web of Science")</f>
        <v>View Full Record in Web of Science</v>
      </c>
    </row>
    <row r="148" spans="1:74" x14ac:dyDescent="0.2">
      <c r="A148" s="30" t="s">
        <v>243</v>
      </c>
      <c r="B148" s="30" t="s">
        <v>1435</v>
      </c>
      <c r="C148" s="30" t="s">
        <v>245</v>
      </c>
      <c r="D148" s="30" t="s">
        <v>245</v>
      </c>
      <c r="E148" s="30" t="s">
        <v>245</v>
      </c>
      <c r="F148" s="30" t="s">
        <v>1436</v>
      </c>
      <c r="G148" s="30" t="s">
        <v>245</v>
      </c>
      <c r="H148" s="30" t="s">
        <v>245</v>
      </c>
      <c r="J148" s="30" t="s">
        <v>2833</v>
      </c>
      <c r="K148" s="30" t="s">
        <v>1437</v>
      </c>
      <c r="L148" s="30" t="s">
        <v>1122</v>
      </c>
      <c r="M148" s="30" t="s">
        <v>245</v>
      </c>
      <c r="N148" s="30" t="s">
        <v>245</v>
      </c>
      <c r="O148" s="30" t="s">
        <v>245</v>
      </c>
      <c r="P148" s="30" t="s">
        <v>245</v>
      </c>
      <c r="Q148" s="30" t="s">
        <v>245</v>
      </c>
      <c r="R148" s="30" t="s">
        <v>245</v>
      </c>
      <c r="S148" s="30" t="s">
        <v>245</v>
      </c>
      <c r="T148" s="30" t="s">
        <v>245</v>
      </c>
      <c r="U148" s="30" t="s">
        <v>245</v>
      </c>
      <c r="V148" s="30" t="s">
        <v>245</v>
      </c>
      <c r="W148" s="30" t="s">
        <v>245</v>
      </c>
      <c r="X148" s="30" t="s">
        <v>245</v>
      </c>
      <c r="Y148" s="30" t="s">
        <v>245</v>
      </c>
      <c r="Z148" s="30" t="s">
        <v>245</v>
      </c>
      <c r="AA148" s="30" t="s">
        <v>245</v>
      </c>
      <c r="AB148" s="30" t="s">
        <v>245</v>
      </c>
      <c r="AC148" s="30" t="s">
        <v>1438</v>
      </c>
      <c r="AD148" s="30" t="s">
        <v>1439</v>
      </c>
      <c r="AE148" s="30" t="s">
        <v>245</v>
      </c>
      <c r="AF148" s="30" t="s">
        <v>245</v>
      </c>
      <c r="AG148" s="30" t="s">
        <v>245</v>
      </c>
      <c r="AH148" s="30" t="s">
        <v>245</v>
      </c>
      <c r="AI148" s="30" t="s">
        <v>245</v>
      </c>
      <c r="AJ148" s="30" t="s">
        <v>245</v>
      </c>
      <c r="AK148" s="30" t="s">
        <v>245</v>
      </c>
      <c r="AL148" s="30" t="s">
        <v>245</v>
      </c>
      <c r="AM148" s="30" t="s">
        <v>245</v>
      </c>
      <c r="AN148" s="30" t="s">
        <v>245</v>
      </c>
      <c r="AO148" s="30" t="s">
        <v>245</v>
      </c>
      <c r="AP148" s="30" t="s">
        <v>245</v>
      </c>
      <c r="AQ148" s="30" t="s">
        <v>245</v>
      </c>
      <c r="AR148" s="30" t="s">
        <v>1125</v>
      </c>
      <c r="AS148" s="30" t="s">
        <v>245</v>
      </c>
      <c r="AT148" s="30" t="s">
        <v>245</v>
      </c>
      <c r="AU148" s="30" t="s">
        <v>245</v>
      </c>
      <c r="AV148" s="30" t="s">
        <v>487</v>
      </c>
      <c r="AW148" s="30">
        <v>2021</v>
      </c>
      <c r="AX148" s="30">
        <v>11</v>
      </c>
      <c r="AY148" s="30">
        <v>3</v>
      </c>
      <c r="AZ148" s="30" t="s">
        <v>245</v>
      </c>
      <c r="BA148" s="30" t="s">
        <v>245</v>
      </c>
      <c r="BB148" s="30" t="s">
        <v>245</v>
      </c>
      <c r="BC148" s="30" t="s">
        <v>245</v>
      </c>
      <c r="BD148" s="30" t="s">
        <v>245</v>
      </c>
      <c r="BE148" s="30" t="s">
        <v>245</v>
      </c>
      <c r="BF148" s="30">
        <v>448</v>
      </c>
      <c r="BG148" s="30" t="s">
        <v>1440</v>
      </c>
      <c r="BH148" s="30" t="str">
        <f>HYPERLINK("http://dx.doi.org/10.3390/agronomy11030448","http://dx.doi.org/10.3390/agronomy11030448")</f>
        <v>http://dx.doi.org/10.3390/agronomy11030448</v>
      </c>
      <c r="BI148" s="30" t="s">
        <v>245</v>
      </c>
      <c r="BJ148" s="30" t="s">
        <v>245</v>
      </c>
      <c r="BK148" s="30" t="s">
        <v>245</v>
      </c>
      <c r="BL148" s="30" t="s">
        <v>245</v>
      </c>
      <c r="BM148" s="30" t="s">
        <v>245</v>
      </c>
      <c r="BN148" s="30" t="s">
        <v>245</v>
      </c>
      <c r="BO148" s="30" t="s">
        <v>245</v>
      </c>
      <c r="BP148" s="30" t="s">
        <v>245</v>
      </c>
      <c r="BQ148" s="30" t="s">
        <v>245</v>
      </c>
      <c r="BR148" s="30" t="s">
        <v>245</v>
      </c>
      <c r="BS148" s="30" t="s">
        <v>245</v>
      </c>
      <c r="BT148" s="30" t="s">
        <v>245</v>
      </c>
      <c r="BU148" s="30" t="s">
        <v>1441</v>
      </c>
      <c r="BV148" s="30" t="str">
        <f>HYPERLINK("https%3A%2F%2Fwww.webofscience.com%2Fwos%2Fwoscc%2Ffull-record%2FWOS:000633174400001","View Full Record in Web of Science")</f>
        <v>View Full Record in Web of Science</v>
      </c>
    </row>
    <row r="149" spans="1:74" x14ac:dyDescent="0.2">
      <c r="A149" s="30" t="s">
        <v>243</v>
      </c>
      <c r="B149" s="30" t="s">
        <v>1133</v>
      </c>
      <c r="C149" s="30" t="s">
        <v>245</v>
      </c>
      <c r="D149" s="30" t="s">
        <v>245</v>
      </c>
      <c r="E149" s="30" t="s">
        <v>245</v>
      </c>
      <c r="F149" s="30" t="s">
        <v>1134</v>
      </c>
      <c r="G149" s="30" t="s">
        <v>245</v>
      </c>
      <c r="H149" s="30" t="s">
        <v>245</v>
      </c>
      <c r="I149" s="30" t="s">
        <v>2823</v>
      </c>
      <c r="K149" s="30" t="s">
        <v>1442</v>
      </c>
      <c r="L149" s="30" t="s">
        <v>541</v>
      </c>
      <c r="M149" s="30" t="s">
        <v>245</v>
      </c>
      <c r="N149" s="30" t="s">
        <v>245</v>
      </c>
      <c r="O149" s="30" t="s">
        <v>245</v>
      </c>
      <c r="P149" s="30" t="s">
        <v>245</v>
      </c>
      <c r="Q149" s="30" t="s">
        <v>245</v>
      </c>
      <c r="R149" s="30" t="s">
        <v>245</v>
      </c>
      <c r="S149" s="30" t="s">
        <v>245</v>
      </c>
      <c r="T149" s="30" t="s">
        <v>245</v>
      </c>
      <c r="U149" s="30" t="s">
        <v>245</v>
      </c>
      <c r="V149" s="30" t="s">
        <v>245</v>
      </c>
      <c r="W149" s="30" t="s">
        <v>245</v>
      </c>
      <c r="X149" s="30" t="s">
        <v>245</v>
      </c>
      <c r="Y149" s="30" t="s">
        <v>245</v>
      </c>
      <c r="Z149" s="30" t="s">
        <v>245</v>
      </c>
      <c r="AA149" s="30" t="s">
        <v>245</v>
      </c>
      <c r="AB149" s="30" t="s">
        <v>245</v>
      </c>
      <c r="AC149" s="30" t="s">
        <v>245</v>
      </c>
      <c r="AD149" s="30" t="s">
        <v>245</v>
      </c>
      <c r="AE149" s="30" t="s">
        <v>245</v>
      </c>
      <c r="AF149" s="30" t="s">
        <v>245</v>
      </c>
      <c r="AG149" s="30" t="s">
        <v>245</v>
      </c>
      <c r="AH149" s="30" t="s">
        <v>245</v>
      </c>
      <c r="AI149" s="30" t="s">
        <v>245</v>
      </c>
      <c r="AJ149" s="30" t="s">
        <v>245</v>
      </c>
      <c r="AK149" s="30" t="s">
        <v>245</v>
      </c>
      <c r="AL149" s="30" t="s">
        <v>245</v>
      </c>
      <c r="AM149" s="30" t="s">
        <v>245</v>
      </c>
      <c r="AN149" s="30" t="s">
        <v>245</v>
      </c>
      <c r="AO149" s="30" t="s">
        <v>245</v>
      </c>
      <c r="AP149" s="30" t="s">
        <v>245</v>
      </c>
      <c r="AQ149" s="30" t="s">
        <v>544</v>
      </c>
      <c r="AR149" s="30" t="s">
        <v>245</v>
      </c>
      <c r="AS149" s="30" t="s">
        <v>245</v>
      </c>
      <c r="AT149" s="30" t="s">
        <v>245</v>
      </c>
      <c r="AU149" s="30" t="s">
        <v>245</v>
      </c>
      <c r="AV149" s="30" t="s">
        <v>635</v>
      </c>
      <c r="AW149" s="30">
        <v>2012</v>
      </c>
      <c r="AX149" s="30">
        <v>160</v>
      </c>
      <c r="AY149" s="30" t="s">
        <v>245</v>
      </c>
      <c r="AZ149" s="30" t="s">
        <v>245</v>
      </c>
      <c r="BA149" s="30" t="s">
        <v>245</v>
      </c>
      <c r="BB149" s="30" t="s">
        <v>298</v>
      </c>
      <c r="BC149" s="30" t="s">
        <v>245</v>
      </c>
      <c r="BD149" s="30">
        <v>40</v>
      </c>
      <c r="BE149" s="30">
        <v>50</v>
      </c>
      <c r="BF149" s="30" t="s">
        <v>245</v>
      </c>
      <c r="BG149" s="30" t="s">
        <v>1443</v>
      </c>
      <c r="BH149" s="30" t="str">
        <f>HYPERLINK("http://dx.doi.org/10.1016/j.agee.2011.07.018","http://dx.doi.org/10.1016/j.agee.2011.07.018")</f>
        <v>http://dx.doi.org/10.1016/j.agee.2011.07.018</v>
      </c>
      <c r="BI149" s="30" t="s">
        <v>245</v>
      </c>
      <c r="BJ149" s="30" t="s">
        <v>245</v>
      </c>
      <c r="BK149" s="30" t="s">
        <v>245</v>
      </c>
      <c r="BL149" s="30" t="s">
        <v>245</v>
      </c>
      <c r="BM149" s="30" t="s">
        <v>245</v>
      </c>
      <c r="BN149" s="30" t="s">
        <v>245</v>
      </c>
      <c r="BO149" s="30" t="s">
        <v>245</v>
      </c>
      <c r="BP149" s="30" t="s">
        <v>245</v>
      </c>
      <c r="BQ149" s="30" t="s">
        <v>245</v>
      </c>
      <c r="BR149" s="30" t="s">
        <v>245</v>
      </c>
      <c r="BS149" s="30" t="s">
        <v>245</v>
      </c>
      <c r="BT149" s="30" t="s">
        <v>245</v>
      </c>
      <c r="BU149" s="30" t="s">
        <v>1444</v>
      </c>
      <c r="BV149" s="30" t="str">
        <f>HYPERLINK("https%3A%2F%2Fwww.webofscience.com%2Fwos%2Fwoscc%2Ffull-record%2FWOS:000309433300006","View Full Record in Web of Science")</f>
        <v>View Full Record in Web of Science</v>
      </c>
    </row>
    <row r="150" spans="1:74" x14ac:dyDescent="0.2">
      <c r="A150" s="30" t="s">
        <v>243</v>
      </c>
      <c r="B150" s="30" t="s">
        <v>1445</v>
      </c>
      <c r="C150" s="30" t="s">
        <v>245</v>
      </c>
      <c r="D150" s="30" t="s">
        <v>245</v>
      </c>
      <c r="E150" s="30" t="s">
        <v>245</v>
      </c>
      <c r="F150" s="30" t="s">
        <v>1446</v>
      </c>
      <c r="G150" s="30" t="s">
        <v>245</v>
      </c>
      <c r="H150" s="30" t="s">
        <v>245</v>
      </c>
      <c r="I150" s="30" t="s">
        <v>2819</v>
      </c>
      <c r="K150" s="30" t="s">
        <v>1447</v>
      </c>
      <c r="L150" s="30" t="s">
        <v>1122</v>
      </c>
      <c r="M150" s="30" t="s">
        <v>245</v>
      </c>
      <c r="N150" s="30" t="s">
        <v>245</v>
      </c>
      <c r="O150" s="30" t="s">
        <v>245</v>
      </c>
      <c r="P150" s="30" t="s">
        <v>245</v>
      </c>
      <c r="Q150" s="30" t="s">
        <v>245</v>
      </c>
      <c r="R150" s="30" t="s">
        <v>245</v>
      </c>
      <c r="S150" s="30" t="s">
        <v>245</v>
      </c>
      <c r="T150" s="30" t="s">
        <v>245</v>
      </c>
      <c r="U150" s="30" t="s">
        <v>245</v>
      </c>
      <c r="V150" s="30" t="s">
        <v>245</v>
      </c>
      <c r="W150" s="30" t="s">
        <v>245</v>
      </c>
      <c r="X150" s="30" t="s">
        <v>245</v>
      </c>
      <c r="Y150" s="30" t="s">
        <v>245</v>
      </c>
      <c r="Z150" s="30" t="s">
        <v>245</v>
      </c>
      <c r="AA150" s="30" t="s">
        <v>245</v>
      </c>
      <c r="AB150" s="30" t="s">
        <v>245</v>
      </c>
      <c r="AC150" s="30" t="s">
        <v>731</v>
      </c>
      <c r="AD150" s="30" t="s">
        <v>1448</v>
      </c>
      <c r="AE150" s="30" t="s">
        <v>245</v>
      </c>
      <c r="AF150" s="30" t="s">
        <v>245</v>
      </c>
      <c r="AG150" s="30" t="s">
        <v>245</v>
      </c>
      <c r="AH150" s="30" t="s">
        <v>245</v>
      </c>
      <c r="AI150" s="30" t="s">
        <v>245</v>
      </c>
      <c r="AJ150" s="30" t="s">
        <v>245</v>
      </c>
      <c r="AK150" s="30" t="s">
        <v>245</v>
      </c>
      <c r="AL150" s="30" t="s">
        <v>245</v>
      </c>
      <c r="AM150" s="30" t="s">
        <v>245</v>
      </c>
      <c r="AN150" s="30" t="s">
        <v>245</v>
      </c>
      <c r="AO150" s="30" t="s">
        <v>245</v>
      </c>
      <c r="AP150" s="30" t="s">
        <v>245</v>
      </c>
      <c r="AQ150" s="30" t="s">
        <v>245</v>
      </c>
      <c r="AR150" s="30" t="s">
        <v>1125</v>
      </c>
      <c r="AS150" s="30" t="s">
        <v>245</v>
      </c>
      <c r="AT150" s="30" t="s">
        <v>245</v>
      </c>
      <c r="AU150" s="30" t="s">
        <v>245</v>
      </c>
      <c r="AV150" s="30" t="s">
        <v>646</v>
      </c>
      <c r="AW150" s="30">
        <v>2021</v>
      </c>
      <c r="AX150" s="30">
        <v>11</v>
      </c>
      <c r="AY150" s="30">
        <v>7</v>
      </c>
      <c r="AZ150" s="30" t="s">
        <v>245</v>
      </c>
      <c r="BA150" s="30" t="s">
        <v>245</v>
      </c>
      <c r="BB150" s="30" t="s">
        <v>245</v>
      </c>
      <c r="BC150" s="30" t="s">
        <v>245</v>
      </c>
      <c r="BD150" s="30" t="s">
        <v>245</v>
      </c>
      <c r="BE150" s="30" t="s">
        <v>245</v>
      </c>
      <c r="BF150" s="30">
        <v>1334</v>
      </c>
      <c r="BG150" s="30" t="s">
        <v>1449</v>
      </c>
      <c r="BH150" s="30" t="str">
        <f>HYPERLINK("http://dx.doi.org/10.3390/agronomy11071334","http://dx.doi.org/10.3390/agronomy11071334")</f>
        <v>http://dx.doi.org/10.3390/agronomy11071334</v>
      </c>
      <c r="BI150" s="30" t="s">
        <v>245</v>
      </c>
      <c r="BJ150" s="30" t="s">
        <v>245</v>
      </c>
      <c r="BK150" s="30" t="s">
        <v>245</v>
      </c>
      <c r="BL150" s="30" t="s">
        <v>245</v>
      </c>
      <c r="BM150" s="30" t="s">
        <v>245</v>
      </c>
      <c r="BN150" s="30" t="s">
        <v>245</v>
      </c>
      <c r="BO150" s="30" t="s">
        <v>245</v>
      </c>
      <c r="BP150" s="30" t="s">
        <v>245</v>
      </c>
      <c r="BQ150" s="30" t="s">
        <v>245</v>
      </c>
      <c r="BR150" s="30" t="s">
        <v>245</v>
      </c>
      <c r="BS150" s="30" t="s">
        <v>245</v>
      </c>
      <c r="BT150" s="30" t="s">
        <v>245</v>
      </c>
      <c r="BU150" s="30" t="s">
        <v>1450</v>
      </c>
      <c r="BV150" s="30" t="str">
        <f>HYPERLINK("https%3A%2F%2Fwww.webofscience.com%2Fwos%2Fwoscc%2Ffull-record%2FWOS:000675930000001","View Full Record in Web of Science")</f>
        <v>View Full Record in Web of Science</v>
      </c>
    </row>
    <row r="151" spans="1:74" x14ac:dyDescent="0.2">
      <c r="A151" s="30" t="s">
        <v>243</v>
      </c>
      <c r="B151" s="30" t="s">
        <v>1451</v>
      </c>
      <c r="C151" s="30" t="s">
        <v>245</v>
      </c>
      <c r="D151" s="30" t="s">
        <v>245</v>
      </c>
      <c r="E151" s="30" t="s">
        <v>245</v>
      </c>
      <c r="F151" s="30" t="s">
        <v>1452</v>
      </c>
      <c r="G151" s="30" t="s">
        <v>245</v>
      </c>
      <c r="H151" s="30" t="s">
        <v>245</v>
      </c>
      <c r="I151" s="30" t="s">
        <v>2823</v>
      </c>
      <c r="K151" s="30" t="s">
        <v>1453</v>
      </c>
      <c r="L151" s="30" t="s">
        <v>282</v>
      </c>
      <c r="M151" s="30" t="s">
        <v>245</v>
      </c>
      <c r="N151" s="30" t="s">
        <v>245</v>
      </c>
      <c r="O151" s="30" t="s">
        <v>245</v>
      </c>
      <c r="P151" s="30" t="s">
        <v>245</v>
      </c>
      <c r="Q151" s="30" t="s">
        <v>245</v>
      </c>
      <c r="R151" s="30" t="s">
        <v>245</v>
      </c>
      <c r="S151" s="30" t="s">
        <v>245</v>
      </c>
      <c r="T151" s="30" t="s">
        <v>245</v>
      </c>
      <c r="U151" s="30" t="s">
        <v>245</v>
      </c>
      <c r="V151" s="30" t="s">
        <v>245</v>
      </c>
      <c r="W151" s="30" t="s">
        <v>245</v>
      </c>
      <c r="X151" s="30" t="s">
        <v>245</v>
      </c>
      <c r="Y151" s="30" t="s">
        <v>245</v>
      </c>
      <c r="Z151" s="30" t="s">
        <v>245</v>
      </c>
      <c r="AA151" s="30" t="s">
        <v>245</v>
      </c>
      <c r="AB151" s="30" t="s">
        <v>245</v>
      </c>
      <c r="AC151" s="30" t="s">
        <v>1454</v>
      </c>
      <c r="AD151" s="30" t="s">
        <v>1455</v>
      </c>
      <c r="AE151" s="30" t="s">
        <v>245</v>
      </c>
      <c r="AF151" s="30" t="s">
        <v>245</v>
      </c>
      <c r="AG151" s="30" t="s">
        <v>245</v>
      </c>
      <c r="AH151" s="30" t="s">
        <v>245</v>
      </c>
      <c r="AI151" s="30" t="s">
        <v>245</v>
      </c>
      <c r="AJ151" s="30" t="s">
        <v>245</v>
      </c>
      <c r="AK151" s="30" t="s">
        <v>245</v>
      </c>
      <c r="AL151" s="30" t="s">
        <v>245</v>
      </c>
      <c r="AM151" s="30" t="s">
        <v>245</v>
      </c>
      <c r="AN151" s="30" t="s">
        <v>245</v>
      </c>
      <c r="AO151" s="30" t="s">
        <v>245</v>
      </c>
      <c r="AP151" s="30" t="s">
        <v>245</v>
      </c>
      <c r="AQ151" s="30" t="s">
        <v>285</v>
      </c>
      <c r="AR151" s="30" t="s">
        <v>370</v>
      </c>
      <c r="AS151" s="30" t="s">
        <v>245</v>
      </c>
      <c r="AT151" s="30" t="s">
        <v>245</v>
      </c>
      <c r="AU151" s="30" t="s">
        <v>245</v>
      </c>
      <c r="AV151" s="30" t="s">
        <v>297</v>
      </c>
      <c r="AW151" s="30">
        <v>2020</v>
      </c>
      <c r="AX151" s="30">
        <v>149</v>
      </c>
      <c r="AY151" s="30" t="s">
        <v>245</v>
      </c>
      <c r="AZ151" s="30" t="s">
        <v>245</v>
      </c>
      <c r="BA151" s="30" t="s">
        <v>245</v>
      </c>
      <c r="BB151" s="30" t="s">
        <v>245</v>
      </c>
      <c r="BC151" s="30" t="s">
        <v>245</v>
      </c>
      <c r="BD151" s="30" t="s">
        <v>245</v>
      </c>
      <c r="BE151" s="30" t="s">
        <v>245</v>
      </c>
      <c r="BF151" s="30">
        <v>107862</v>
      </c>
      <c r="BG151" s="30" t="s">
        <v>1456</v>
      </c>
      <c r="BH151" s="30" t="str">
        <f>HYPERLINK("http://dx.doi.org/10.1016/j.soilbio.2020.107862","http://dx.doi.org/10.1016/j.soilbio.2020.107862")</f>
        <v>http://dx.doi.org/10.1016/j.soilbio.2020.107862</v>
      </c>
      <c r="BI151" s="30" t="s">
        <v>245</v>
      </c>
      <c r="BJ151" s="30" t="s">
        <v>245</v>
      </c>
      <c r="BK151" s="30" t="s">
        <v>245</v>
      </c>
      <c r="BL151" s="30" t="s">
        <v>245</v>
      </c>
      <c r="BM151" s="30" t="s">
        <v>245</v>
      </c>
      <c r="BN151" s="30" t="s">
        <v>245</v>
      </c>
      <c r="BO151" s="30" t="s">
        <v>245</v>
      </c>
      <c r="BP151" s="30" t="s">
        <v>245</v>
      </c>
      <c r="BQ151" s="30" t="s">
        <v>245</v>
      </c>
      <c r="BR151" s="30" t="s">
        <v>245</v>
      </c>
      <c r="BS151" s="30" t="s">
        <v>245</v>
      </c>
      <c r="BT151" s="30" t="s">
        <v>245</v>
      </c>
      <c r="BU151" s="30" t="s">
        <v>1457</v>
      </c>
      <c r="BV151" s="30" t="str">
        <f>HYPERLINK("https%3A%2F%2Fwww.webofscience.com%2Fwos%2Fwoscc%2Ffull-record%2FWOS:000567094800001","View Full Record in Web of Science")</f>
        <v>View Full Record in Web of Science</v>
      </c>
    </row>
    <row r="152" spans="1:74" x14ac:dyDescent="0.2">
      <c r="A152" s="30" t="s">
        <v>243</v>
      </c>
      <c r="B152" s="30" t="s">
        <v>1458</v>
      </c>
      <c r="C152" s="30" t="s">
        <v>245</v>
      </c>
      <c r="D152" s="30" t="s">
        <v>245</v>
      </c>
      <c r="E152" s="30" t="s">
        <v>245</v>
      </c>
      <c r="F152" s="30" t="s">
        <v>1459</v>
      </c>
      <c r="G152" s="30" t="s">
        <v>245</v>
      </c>
      <c r="H152" s="30" t="s">
        <v>245</v>
      </c>
      <c r="K152" s="30" t="s">
        <v>1460</v>
      </c>
      <c r="L152" s="30" t="s">
        <v>641</v>
      </c>
      <c r="M152" s="30" t="s">
        <v>245</v>
      </c>
      <c r="N152" s="30" t="s">
        <v>245</v>
      </c>
      <c r="O152" s="30" t="s">
        <v>245</v>
      </c>
      <c r="P152" s="30" t="s">
        <v>245</v>
      </c>
      <c r="Q152" s="30" t="s">
        <v>245</v>
      </c>
      <c r="R152" s="30" t="s">
        <v>245</v>
      </c>
      <c r="S152" s="30" t="s">
        <v>245</v>
      </c>
      <c r="T152" s="30" t="s">
        <v>245</v>
      </c>
      <c r="U152" s="30" t="s">
        <v>245</v>
      </c>
      <c r="V152" s="30" t="s">
        <v>245</v>
      </c>
      <c r="W152" s="30" t="s">
        <v>245</v>
      </c>
      <c r="X152" s="30" t="s">
        <v>245</v>
      </c>
      <c r="Y152" s="30" t="s">
        <v>245</v>
      </c>
      <c r="Z152" s="30" t="s">
        <v>245</v>
      </c>
      <c r="AA152" s="30" t="s">
        <v>245</v>
      </c>
      <c r="AB152" s="30" t="s">
        <v>245</v>
      </c>
      <c r="AC152" s="30" t="s">
        <v>1461</v>
      </c>
      <c r="AD152" s="30" t="s">
        <v>1462</v>
      </c>
      <c r="AE152" s="30" t="s">
        <v>245</v>
      </c>
      <c r="AF152" s="30" t="s">
        <v>245</v>
      </c>
      <c r="AG152" s="30" t="s">
        <v>245</v>
      </c>
      <c r="AH152" s="30" t="s">
        <v>245</v>
      </c>
      <c r="AI152" s="30" t="s">
        <v>245</v>
      </c>
      <c r="AJ152" s="30" t="s">
        <v>245</v>
      </c>
      <c r="AK152" s="30" t="s">
        <v>245</v>
      </c>
      <c r="AL152" s="30" t="s">
        <v>245</v>
      </c>
      <c r="AM152" s="30" t="s">
        <v>245</v>
      </c>
      <c r="AN152" s="30" t="s">
        <v>245</v>
      </c>
      <c r="AO152" s="30" t="s">
        <v>245</v>
      </c>
      <c r="AP152" s="30" t="s">
        <v>245</v>
      </c>
      <c r="AQ152" s="30" t="s">
        <v>644</v>
      </c>
      <c r="AR152" s="30" t="s">
        <v>645</v>
      </c>
      <c r="AS152" s="30" t="s">
        <v>245</v>
      </c>
      <c r="AT152" s="30" t="s">
        <v>245</v>
      </c>
      <c r="AU152" s="30" t="s">
        <v>245</v>
      </c>
      <c r="AV152" s="30" t="s">
        <v>1463</v>
      </c>
      <c r="AW152" s="30">
        <v>2015</v>
      </c>
      <c r="AX152" s="30">
        <v>44</v>
      </c>
      <c r="AY152" s="30">
        <v>6</v>
      </c>
      <c r="AZ152" s="30" t="s">
        <v>245</v>
      </c>
      <c r="BA152" s="30" t="s">
        <v>245</v>
      </c>
      <c r="BB152" s="30" t="s">
        <v>245</v>
      </c>
      <c r="BC152" s="30" t="s">
        <v>245</v>
      </c>
      <c r="BD152" s="30">
        <v>1699</v>
      </c>
      <c r="BE152" s="30">
        <v>1710</v>
      </c>
      <c r="BF152" s="30" t="s">
        <v>245</v>
      </c>
      <c r="BG152" s="30" t="s">
        <v>1464</v>
      </c>
      <c r="BH152" s="30" t="str">
        <f>HYPERLINK("http://dx.doi.org/10.2134/jeq2015.01.0036","http://dx.doi.org/10.2134/jeq2015.01.0036")</f>
        <v>http://dx.doi.org/10.2134/jeq2015.01.0036</v>
      </c>
      <c r="BI152" s="30" t="s">
        <v>245</v>
      </c>
      <c r="BJ152" s="30" t="s">
        <v>245</v>
      </c>
      <c r="BK152" s="30" t="s">
        <v>245</v>
      </c>
      <c r="BL152" s="30" t="s">
        <v>245</v>
      </c>
      <c r="BM152" s="30" t="s">
        <v>245</v>
      </c>
      <c r="BN152" s="30" t="s">
        <v>245</v>
      </c>
      <c r="BO152" s="30" t="s">
        <v>245</v>
      </c>
      <c r="BP152" s="30">
        <v>26641321</v>
      </c>
      <c r="BQ152" s="30" t="s">
        <v>245</v>
      </c>
      <c r="BR152" s="30" t="s">
        <v>245</v>
      </c>
      <c r="BS152" s="30" t="s">
        <v>245</v>
      </c>
      <c r="BT152" s="30" t="s">
        <v>245</v>
      </c>
      <c r="BU152" s="30" t="s">
        <v>1465</v>
      </c>
      <c r="BV152" s="30" t="str">
        <f>HYPERLINK("https%3A%2F%2Fwww.webofscience.com%2Fwos%2Fwoscc%2Ffull-record%2FWOS:000364912300001","View Full Record in Web of Science")</f>
        <v>View Full Record in Web of Science</v>
      </c>
    </row>
    <row r="153" spans="1:74" x14ac:dyDescent="0.2">
      <c r="A153" s="30" t="s">
        <v>243</v>
      </c>
      <c r="B153" s="30" t="s">
        <v>1466</v>
      </c>
      <c r="C153" s="30" t="s">
        <v>245</v>
      </c>
      <c r="D153" s="30" t="s">
        <v>245</v>
      </c>
      <c r="E153" s="30" t="s">
        <v>245</v>
      </c>
      <c r="F153" s="30" t="s">
        <v>1466</v>
      </c>
      <c r="G153" s="30" t="s">
        <v>245</v>
      </c>
      <c r="H153" s="30" t="s">
        <v>245</v>
      </c>
      <c r="I153" s="30" t="s">
        <v>2823</v>
      </c>
      <c r="K153" s="30" t="s">
        <v>1467</v>
      </c>
      <c r="L153" s="30" t="s">
        <v>1015</v>
      </c>
      <c r="M153" s="30" t="s">
        <v>245</v>
      </c>
      <c r="N153" s="30" t="s">
        <v>245</v>
      </c>
      <c r="O153" s="30" t="s">
        <v>245</v>
      </c>
      <c r="P153" s="30" t="s">
        <v>245</v>
      </c>
      <c r="Q153" s="30" t="s">
        <v>245</v>
      </c>
      <c r="R153" s="30" t="s">
        <v>245</v>
      </c>
      <c r="S153" s="30" t="s">
        <v>245</v>
      </c>
      <c r="T153" s="30" t="s">
        <v>245</v>
      </c>
      <c r="U153" s="30" t="s">
        <v>245</v>
      </c>
      <c r="V153" s="30" t="s">
        <v>245</v>
      </c>
      <c r="W153" s="30" t="s">
        <v>245</v>
      </c>
      <c r="X153" s="30" t="s">
        <v>245</v>
      </c>
      <c r="Y153" s="30" t="s">
        <v>245</v>
      </c>
      <c r="Z153" s="30" t="s">
        <v>245</v>
      </c>
      <c r="AA153" s="30" t="s">
        <v>245</v>
      </c>
      <c r="AB153" s="30" t="s">
        <v>245</v>
      </c>
      <c r="AC153" s="30" t="s">
        <v>245</v>
      </c>
      <c r="AD153" s="30" t="s">
        <v>245</v>
      </c>
      <c r="AE153" s="30" t="s">
        <v>245</v>
      </c>
      <c r="AF153" s="30" t="s">
        <v>245</v>
      </c>
      <c r="AG153" s="30" t="s">
        <v>245</v>
      </c>
      <c r="AH153" s="30" t="s">
        <v>245</v>
      </c>
      <c r="AI153" s="30" t="s">
        <v>245</v>
      </c>
      <c r="AJ153" s="30" t="s">
        <v>245</v>
      </c>
      <c r="AK153" s="30" t="s">
        <v>245</v>
      </c>
      <c r="AL153" s="30" t="s">
        <v>245</v>
      </c>
      <c r="AM153" s="30" t="s">
        <v>245</v>
      </c>
      <c r="AN153" s="30" t="s">
        <v>245</v>
      </c>
      <c r="AO153" s="30" t="s">
        <v>245</v>
      </c>
      <c r="AP153" s="30" t="s">
        <v>245</v>
      </c>
      <c r="AQ153" s="30" t="s">
        <v>1018</v>
      </c>
      <c r="AR153" s="30" t="s">
        <v>245</v>
      </c>
      <c r="AS153" s="30" t="s">
        <v>245</v>
      </c>
      <c r="AT153" s="30" t="s">
        <v>245</v>
      </c>
      <c r="AU153" s="30" t="s">
        <v>245</v>
      </c>
      <c r="AV153" s="30" t="s">
        <v>550</v>
      </c>
      <c r="AW153" s="30">
        <v>1996</v>
      </c>
      <c r="AX153" s="30">
        <v>35</v>
      </c>
      <c r="AY153" s="30">
        <v>2</v>
      </c>
      <c r="AZ153" s="30" t="s">
        <v>245</v>
      </c>
      <c r="BA153" s="30" t="s">
        <v>245</v>
      </c>
      <c r="BB153" s="30" t="s">
        <v>245</v>
      </c>
      <c r="BC153" s="30" t="s">
        <v>245</v>
      </c>
      <c r="BD153" s="30">
        <v>305</v>
      </c>
      <c r="BE153" s="30">
        <v>326</v>
      </c>
      <c r="BF153" s="30" t="s">
        <v>245</v>
      </c>
      <c r="BG153" s="30" t="s">
        <v>1468</v>
      </c>
      <c r="BH153" s="30" t="str">
        <f>HYPERLINK("http://dx.doi.org/10.1007/BF02179957","http://dx.doi.org/10.1007/BF02179957")</f>
        <v>http://dx.doi.org/10.1007/BF02179957</v>
      </c>
      <c r="BI153" s="30" t="s">
        <v>245</v>
      </c>
      <c r="BJ153" s="30" t="s">
        <v>245</v>
      </c>
      <c r="BK153" s="30" t="s">
        <v>245</v>
      </c>
      <c r="BL153" s="30" t="s">
        <v>245</v>
      </c>
      <c r="BM153" s="30" t="s">
        <v>245</v>
      </c>
      <c r="BN153" s="30" t="s">
        <v>245</v>
      </c>
      <c r="BO153" s="30" t="s">
        <v>245</v>
      </c>
      <c r="BP153" s="30" t="s">
        <v>245</v>
      </c>
      <c r="BQ153" s="30" t="s">
        <v>245</v>
      </c>
      <c r="BR153" s="30" t="s">
        <v>245</v>
      </c>
      <c r="BS153" s="30" t="s">
        <v>245</v>
      </c>
      <c r="BT153" s="30" t="s">
        <v>245</v>
      </c>
      <c r="BU153" s="30" t="s">
        <v>1469</v>
      </c>
      <c r="BV153" s="30" t="str">
        <f>HYPERLINK("https%3A%2F%2Fwww.webofscience.com%2Fwos%2Fwoscc%2Ffull-record%2FWOS:A1996VW59400001","View Full Record in Web of Science")</f>
        <v>View Full Record in Web of Science</v>
      </c>
    </row>
    <row r="154" spans="1:74" x14ac:dyDescent="0.2">
      <c r="A154" s="30" t="s">
        <v>243</v>
      </c>
      <c r="B154" s="30" t="s">
        <v>1470</v>
      </c>
      <c r="C154" s="30" t="s">
        <v>245</v>
      </c>
      <c r="D154" s="30" t="s">
        <v>245</v>
      </c>
      <c r="E154" s="30" t="s">
        <v>245</v>
      </c>
      <c r="F154" s="30" t="s">
        <v>1471</v>
      </c>
      <c r="G154" s="30" t="s">
        <v>245</v>
      </c>
      <c r="H154" s="30" t="s">
        <v>245</v>
      </c>
      <c r="I154" s="30" t="s">
        <v>2823</v>
      </c>
      <c r="K154" s="30" t="s">
        <v>1472</v>
      </c>
      <c r="L154" s="30" t="s">
        <v>1473</v>
      </c>
      <c r="M154" s="30" t="s">
        <v>245</v>
      </c>
      <c r="N154" s="30" t="s">
        <v>245</v>
      </c>
      <c r="O154" s="30" t="s">
        <v>245</v>
      </c>
      <c r="P154" s="30" t="s">
        <v>245</v>
      </c>
      <c r="Q154" s="30" t="s">
        <v>245</v>
      </c>
      <c r="R154" s="30" t="s">
        <v>245</v>
      </c>
      <c r="S154" s="30" t="s">
        <v>245</v>
      </c>
      <c r="T154" s="30" t="s">
        <v>245</v>
      </c>
      <c r="U154" s="30" t="s">
        <v>245</v>
      </c>
      <c r="V154" s="30" t="s">
        <v>245</v>
      </c>
      <c r="W154" s="30" t="s">
        <v>245</v>
      </c>
      <c r="X154" s="30" t="s">
        <v>245</v>
      </c>
      <c r="Y154" s="30" t="s">
        <v>245</v>
      </c>
      <c r="Z154" s="30" t="s">
        <v>245</v>
      </c>
      <c r="AA154" s="30" t="s">
        <v>245</v>
      </c>
      <c r="AB154" s="30" t="s">
        <v>245</v>
      </c>
      <c r="AC154" s="30" t="s">
        <v>1474</v>
      </c>
      <c r="AD154" s="30" t="s">
        <v>1475</v>
      </c>
      <c r="AE154" s="30" t="s">
        <v>245</v>
      </c>
      <c r="AF154" s="30" t="s">
        <v>245</v>
      </c>
      <c r="AG154" s="30" t="s">
        <v>245</v>
      </c>
      <c r="AH154" s="30" t="s">
        <v>245</v>
      </c>
      <c r="AI154" s="30" t="s">
        <v>245</v>
      </c>
      <c r="AJ154" s="30" t="s">
        <v>245</v>
      </c>
      <c r="AK154" s="30" t="s">
        <v>245</v>
      </c>
      <c r="AL154" s="30" t="s">
        <v>245</v>
      </c>
      <c r="AM154" s="30" t="s">
        <v>245</v>
      </c>
      <c r="AN154" s="30" t="s">
        <v>245</v>
      </c>
      <c r="AO154" s="30" t="s">
        <v>245</v>
      </c>
      <c r="AP154" s="30" t="s">
        <v>245</v>
      </c>
      <c r="AQ154" s="30" t="s">
        <v>1476</v>
      </c>
      <c r="AR154" s="30" t="s">
        <v>1477</v>
      </c>
      <c r="AS154" s="30" t="s">
        <v>245</v>
      </c>
      <c r="AT154" s="30" t="s">
        <v>245</v>
      </c>
      <c r="AU154" s="30" t="s">
        <v>245</v>
      </c>
      <c r="AV154" s="30" t="s">
        <v>481</v>
      </c>
      <c r="AW154" s="30">
        <v>2017</v>
      </c>
      <c r="AX154" s="30">
        <v>46</v>
      </c>
      <c r="AY154" s="30">
        <v>4</v>
      </c>
      <c r="AZ154" s="30" t="s">
        <v>245</v>
      </c>
      <c r="BA154" s="30" t="s">
        <v>245</v>
      </c>
      <c r="BB154" s="30" t="s">
        <v>245</v>
      </c>
      <c r="BC154" s="30" t="s">
        <v>245</v>
      </c>
      <c r="BD154" s="30">
        <v>1415</v>
      </c>
      <c r="BE154" s="30">
        <v>1420</v>
      </c>
      <c r="BF154" s="30" t="s">
        <v>245</v>
      </c>
      <c r="BG154" s="30" t="s">
        <v>245</v>
      </c>
      <c r="BH154" s="30" t="s">
        <v>245</v>
      </c>
      <c r="BI154" s="30" t="s">
        <v>245</v>
      </c>
      <c r="BJ154" s="30" t="s">
        <v>245</v>
      </c>
      <c r="BK154" s="30" t="s">
        <v>245</v>
      </c>
      <c r="BL154" s="30" t="s">
        <v>245</v>
      </c>
      <c r="BM154" s="30" t="s">
        <v>245</v>
      </c>
      <c r="BN154" s="30" t="s">
        <v>245</v>
      </c>
      <c r="BO154" s="30" t="s">
        <v>245</v>
      </c>
      <c r="BP154" s="30" t="s">
        <v>245</v>
      </c>
      <c r="BQ154" s="30" t="s">
        <v>245</v>
      </c>
      <c r="BR154" s="30" t="s">
        <v>245</v>
      </c>
      <c r="BS154" s="30" t="s">
        <v>245</v>
      </c>
      <c r="BT154" s="30" t="s">
        <v>245</v>
      </c>
      <c r="BU154" s="30" t="s">
        <v>1478</v>
      </c>
      <c r="BV154" s="30" t="str">
        <f>HYPERLINK("https%3A%2F%2Fwww.webofscience.com%2Fwos%2Fwoscc%2Ffull-record%2FWOS:000422929500022","View Full Record in Web of Science")</f>
        <v>View Full Record in Web of Science</v>
      </c>
    </row>
    <row r="155" spans="1:74" x14ac:dyDescent="0.2">
      <c r="A155" s="30" t="s">
        <v>243</v>
      </c>
      <c r="B155" s="30" t="s">
        <v>1479</v>
      </c>
      <c r="C155" s="30" t="s">
        <v>245</v>
      </c>
      <c r="D155" s="30" t="s">
        <v>245</v>
      </c>
      <c r="E155" s="30" t="s">
        <v>245</v>
      </c>
      <c r="F155" s="30" t="s">
        <v>1480</v>
      </c>
      <c r="G155" s="30" t="s">
        <v>245</v>
      </c>
      <c r="H155" s="30" t="s">
        <v>245</v>
      </c>
      <c r="I155" s="30" t="s">
        <v>2823</v>
      </c>
      <c r="K155" s="30" t="s">
        <v>1481</v>
      </c>
      <c r="L155" s="30" t="s">
        <v>1482</v>
      </c>
      <c r="M155" s="30" t="s">
        <v>245</v>
      </c>
      <c r="N155" s="30" t="s">
        <v>245</v>
      </c>
      <c r="O155" s="30" t="s">
        <v>245</v>
      </c>
      <c r="P155" s="30" t="s">
        <v>245</v>
      </c>
      <c r="Q155" s="30" t="s">
        <v>245</v>
      </c>
      <c r="R155" s="30" t="s">
        <v>245</v>
      </c>
      <c r="S155" s="30" t="s">
        <v>245</v>
      </c>
      <c r="T155" s="30" t="s">
        <v>245</v>
      </c>
      <c r="U155" s="30" t="s">
        <v>245</v>
      </c>
      <c r="V155" s="30" t="s">
        <v>245</v>
      </c>
      <c r="W155" s="30" t="s">
        <v>245</v>
      </c>
      <c r="X155" s="30" t="s">
        <v>245</v>
      </c>
      <c r="Y155" s="30" t="s">
        <v>245</v>
      </c>
      <c r="Z155" s="30" t="s">
        <v>245</v>
      </c>
      <c r="AA155" s="30" t="s">
        <v>245</v>
      </c>
      <c r="AB155" s="30" t="s">
        <v>245</v>
      </c>
      <c r="AC155" s="30" t="s">
        <v>1483</v>
      </c>
      <c r="AD155" s="30" t="s">
        <v>245</v>
      </c>
      <c r="AE155" s="30" t="s">
        <v>245</v>
      </c>
      <c r="AF155" s="30" t="s">
        <v>245</v>
      </c>
      <c r="AG155" s="30" t="s">
        <v>245</v>
      </c>
      <c r="AH155" s="30" t="s">
        <v>245</v>
      </c>
      <c r="AI155" s="30" t="s">
        <v>245</v>
      </c>
      <c r="AJ155" s="30" t="s">
        <v>245</v>
      </c>
      <c r="AK155" s="30" t="s">
        <v>245</v>
      </c>
      <c r="AL155" s="30" t="s">
        <v>245</v>
      </c>
      <c r="AM155" s="30" t="s">
        <v>245</v>
      </c>
      <c r="AN155" s="30" t="s">
        <v>245</v>
      </c>
      <c r="AO155" s="30" t="s">
        <v>245</v>
      </c>
      <c r="AP155" s="30" t="s">
        <v>245</v>
      </c>
      <c r="AQ155" s="30" t="s">
        <v>1484</v>
      </c>
      <c r="AR155" s="30" t="s">
        <v>1485</v>
      </c>
      <c r="AS155" s="30" t="s">
        <v>245</v>
      </c>
      <c r="AT155" s="30" t="s">
        <v>245</v>
      </c>
      <c r="AU155" s="30" t="s">
        <v>245</v>
      </c>
      <c r="AV155" s="30" t="s">
        <v>487</v>
      </c>
      <c r="AW155" s="30">
        <v>2022</v>
      </c>
      <c r="AX155" s="30">
        <v>168</v>
      </c>
      <c r="AY155" s="30" t="s">
        <v>245</v>
      </c>
      <c r="AZ155" s="30" t="s">
        <v>245</v>
      </c>
      <c r="BA155" s="30" t="s">
        <v>245</v>
      </c>
      <c r="BB155" s="30" t="s">
        <v>245</v>
      </c>
      <c r="BC155" s="30" t="s">
        <v>245</v>
      </c>
      <c r="BD155" s="30" t="s">
        <v>245</v>
      </c>
      <c r="BE155" s="30" t="s">
        <v>245</v>
      </c>
      <c r="BF155" s="30">
        <v>105375</v>
      </c>
      <c r="BG155" s="30" t="s">
        <v>1486</v>
      </c>
      <c r="BH155" s="30" t="str">
        <f>HYPERLINK("http://dx.doi.org/10.1016/j.ibiod.2022.105375","http://dx.doi.org/10.1016/j.ibiod.2022.105375")</f>
        <v>http://dx.doi.org/10.1016/j.ibiod.2022.105375</v>
      </c>
      <c r="BI155" s="30" t="s">
        <v>245</v>
      </c>
      <c r="BJ155" s="30" t="s">
        <v>1314</v>
      </c>
      <c r="BK155" s="30" t="s">
        <v>245</v>
      </c>
      <c r="BL155" s="30" t="s">
        <v>245</v>
      </c>
      <c r="BM155" s="30" t="s">
        <v>245</v>
      </c>
      <c r="BN155" s="30" t="s">
        <v>245</v>
      </c>
      <c r="BO155" s="30" t="s">
        <v>245</v>
      </c>
      <c r="BP155" s="30" t="s">
        <v>245</v>
      </c>
      <c r="BQ155" s="30" t="s">
        <v>245</v>
      </c>
      <c r="BR155" s="30" t="s">
        <v>245</v>
      </c>
      <c r="BS155" s="30" t="s">
        <v>245</v>
      </c>
      <c r="BT155" s="30" t="s">
        <v>245</v>
      </c>
      <c r="BU155" s="30" t="s">
        <v>1487</v>
      </c>
      <c r="BV155" s="30" t="str">
        <f>HYPERLINK("https%3A%2F%2Fwww.webofscience.com%2Fwos%2Fwoscc%2Ffull-record%2FWOS:000967772900003","View Full Record in Web of Science")</f>
        <v>View Full Record in Web of Science</v>
      </c>
    </row>
    <row r="156" spans="1:74" x14ac:dyDescent="0.2">
      <c r="A156" s="30" t="s">
        <v>243</v>
      </c>
      <c r="B156" s="30" t="s">
        <v>1488</v>
      </c>
      <c r="C156" s="30" t="s">
        <v>245</v>
      </c>
      <c r="D156" s="30" t="s">
        <v>245</v>
      </c>
      <c r="E156" s="30" t="s">
        <v>245</v>
      </c>
      <c r="F156" s="30" t="s">
        <v>1489</v>
      </c>
      <c r="G156" s="30" t="s">
        <v>245</v>
      </c>
      <c r="H156" s="30" t="s">
        <v>245</v>
      </c>
      <c r="I156" s="30" t="s">
        <v>2823</v>
      </c>
      <c r="K156" s="30" t="s">
        <v>1490</v>
      </c>
      <c r="L156" s="30" t="s">
        <v>501</v>
      </c>
      <c r="M156" s="30" t="s">
        <v>245</v>
      </c>
      <c r="N156" s="30" t="s">
        <v>245</v>
      </c>
      <c r="O156" s="30" t="s">
        <v>245</v>
      </c>
      <c r="P156" s="30" t="s">
        <v>245</v>
      </c>
      <c r="Q156" s="30" t="s">
        <v>245</v>
      </c>
      <c r="R156" s="30" t="s">
        <v>245</v>
      </c>
      <c r="S156" s="30" t="s">
        <v>245</v>
      </c>
      <c r="T156" s="30" t="s">
        <v>245</v>
      </c>
      <c r="U156" s="30" t="s">
        <v>245</v>
      </c>
      <c r="V156" s="30" t="s">
        <v>245</v>
      </c>
      <c r="W156" s="30" t="s">
        <v>245</v>
      </c>
      <c r="X156" s="30" t="s">
        <v>245</v>
      </c>
      <c r="Y156" s="30" t="s">
        <v>245</v>
      </c>
      <c r="Z156" s="30" t="s">
        <v>245</v>
      </c>
      <c r="AA156" s="30" t="s">
        <v>245</v>
      </c>
      <c r="AB156" s="30" t="s">
        <v>245</v>
      </c>
      <c r="AC156" s="30" t="s">
        <v>1491</v>
      </c>
      <c r="AD156" s="30" t="s">
        <v>245</v>
      </c>
      <c r="AE156" s="30" t="s">
        <v>245</v>
      </c>
      <c r="AF156" s="30" t="s">
        <v>245</v>
      </c>
      <c r="AG156" s="30" t="s">
        <v>245</v>
      </c>
      <c r="AH156" s="30" t="s">
        <v>245</v>
      </c>
      <c r="AI156" s="30" t="s">
        <v>245</v>
      </c>
      <c r="AJ156" s="30" t="s">
        <v>245</v>
      </c>
      <c r="AK156" s="30" t="s">
        <v>245</v>
      </c>
      <c r="AL156" s="30" t="s">
        <v>245</v>
      </c>
      <c r="AM156" s="30" t="s">
        <v>245</v>
      </c>
      <c r="AN156" s="30" t="s">
        <v>245</v>
      </c>
      <c r="AO156" s="30" t="s">
        <v>245</v>
      </c>
      <c r="AP156" s="30" t="s">
        <v>245</v>
      </c>
      <c r="AQ156" s="30" t="s">
        <v>504</v>
      </c>
      <c r="AR156" s="30" t="s">
        <v>505</v>
      </c>
      <c r="AS156" s="30" t="s">
        <v>245</v>
      </c>
      <c r="AT156" s="30" t="s">
        <v>245</v>
      </c>
      <c r="AU156" s="30" t="s">
        <v>245</v>
      </c>
      <c r="AV156" s="30" t="s">
        <v>550</v>
      </c>
      <c r="AW156" s="30">
        <v>2022</v>
      </c>
      <c r="AX156" s="30">
        <v>179</v>
      </c>
      <c r="AY156" s="30" t="s">
        <v>245</v>
      </c>
      <c r="AZ156" s="30" t="s">
        <v>245</v>
      </c>
      <c r="BA156" s="30" t="s">
        <v>245</v>
      </c>
      <c r="BB156" s="30" t="s">
        <v>245</v>
      </c>
      <c r="BC156" s="30" t="s">
        <v>245</v>
      </c>
      <c r="BD156" s="30" t="s">
        <v>245</v>
      </c>
      <c r="BE156" s="30" t="s">
        <v>245</v>
      </c>
      <c r="BF156" s="30">
        <v>104585</v>
      </c>
      <c r="BG156" s="30" t="s">
        <v>1492</v>
      </c>
      <c r="BH156" s="30" t="str">
        <f>HYPERLINK("http://dx.doi.org/10.1016/j.apsoil.2022.104585","http://dx.doi.org/10.1016/j.apsoil.2022.104585")</f>
        <v>http://dx.doi.org/10.1016/j.apsoil.2022.104585</v>
      </c>
      <c r="BI156" s="30" t="s">
        <v>245</v>
      </c>
      <c r="BJ156" s="30" t="s">
        <v>1493</v>
      </c>
      <c r="BK156" s="30" t="s">
        <v>245</v>
      </c>
      <c r="BL156" s="30" t="s">
        <v>245</v>
      </c>
      <c r="BM156" s="30" t="s">
        <v>245</v>
      </c>
      <c r="BN156" s="30" t="s">
        <v>245</v>
      </c>
      <c r="BO156" s="30" t="s">
        <v>245</v>
      </c>
      <c r="BP156" s="30" t="s">
        <v>245</v>
      </c>
      <c r="BQ156" s="30" t="s">
        <v>245</v>
      </c>
      <c r="BR156" s="30" t="s">
        <v>245</v>
      </c>
      <c r="BS156" s="30" t="s">
        <v>245</v>
      </c>
      <c r="BT156" s="30" t="s">
        <v>245</v>
      </c>
      <c r="BU156" s="30" t="s">
        <v>1494</v>
      </c>
      <c r="BV156" s="30" t="str">
        <f>HYPERLINK("https%3A%2F%2Fwww.webofscience.com%2Fwos%2Fwoscc%2Ffull-record%2FWOS:000874782100004","View Full Record in Web of Science")</f>
        <v>View Full Record in Web of Science</v>
      </c>
    </row>
    <row r="157" spans="1:74" x14ac:dyDescent="0.2">
      <c r="A157" s="30" t="s">
        <v>243</v>
      </c>
      <c r="B157" s="30" t="s">
        <v>1495</v>
      </c>
      <c r="C157" s="30" t="s">
        <v>245</v>
      </c>
      <c r="D157" s="30" t="s">
        <v>245</v>
      </c>
      <c r="E157" s="30" t="s">
        <v>245</v>
      </c>
      <c r="F157" s="30" t="s">
        <v>1495</v>
      </c>
      <c r="G157" s="30" t="s">
        <v>245</v>
      </c>
      <c r="H157" s="30" t="s">
        <v>245</v>
      </c>
      <c r="I157" s="30" t="s">
        <v>2819</v>
      </c>
      <c r="K157" s="30" t="s">
        <v>1496</v>
      </c>
      <c r="L157" s="30" t="s">
        <v>1497</v>
      </c>
      <c r="M157" s="30" t="s">
        <v>245</v>
      </c>
      <c r="N157" s="30" t="s">
        <v>245</v>
      </c>
      <c r="O157" s="30" t="s">
        <v>245</v>
      </c>
      <c r="P157" s="30" t="s">
        <v>245</v>
      </c>
      <c r="Q157" s="30" t="s">
        <v>245</v>
      </c>
      <c r="R157" s="30" t="s">
        <v>245</v>
      </c>
      <c r="S157" s="30" t="s">
        <v>245</v>
      </c>
      <c r="T157" s="30" t="s">
        <v>245</v>
      </c>
      <c r="U157" s="30" t="s">
        <v>245</v>
      </c>
      <c r="V157" s="30" t="s">
        <v>245</v>
      </c>
      <c r="W157" s="30" t="s">
        <v>245</v>
      </c>
      <c r="X157" s="30" t="s">
        <v>245</v>
      </c>
      <c r="Y157" s="30" t="s">
        <v>245</v>
      </c>
      <c r="Z157" s="30" t="s">
        <v>245</v>
      </c>
      <c r="AA157" s="30" t="s">
        <v>245</v>
      </c>
      <c r="AB157" s="30" t="s">
        <v>245</v>
      </c>
      <c r="AC157" s="30" t="s">
        <v>245</v>
      </c>
      <c r="AD157" s="30" t="s">
        <v>245</v>
      </c>
      <c r="AE157" s="30" t="s">
        <v>245</v>
      </c>
      <c r="AF157" s="30" t="s">
        <v>245</v>
      </c>
      <c r="AG157" s="30" t="s">
        <v>245</v>
      </c>
      <c r="AH157" s="30" t="s">
        <v>245</v>
      </c>
      <c r="AI157" s="30" t="s">
        <v>245</v>
      </c>
      <c r="AJ157" s="30" t="s">
        <v>245</v>
      </c>
      <c r="AK157" s="30" t="s">
        <v>245</v>
      </c>
      <c r="AL157" s="30" t="s">
        <v>245</v>
      </c>
      <c r="AM157" s="30" t="s">
        <v>245</v>
      </c>
      <c r="AN157" s="30" t="s">
        <v>245</v>
      </c>
      <c r="AO157" s="30" t="s">
        <v>245</v>
      </c>
      <c r="AP157" s="30" t="s">
        <v>245</v>
      </c>
      <c r="AQ157" s="30" t="s">
        <v>1498</v>
      </c>
      <c r="AR157" s="30" t="s">
        <v>245</v>
      </c>
      <c r="AS157" s="30" t="s">
        <v>245</v>
      </c>
      <c r="AT157" s="30" t="s">
        <v>245</v>
      </c>
      <c r="AU157" s="30" t="s">
        <v>245</v>
      </c>
      <c r="AV157" s="30" t="s">
        <v>245</v>
      </c>
      <c r="AW157" s="30">
        <v>1973</v>
      </c>
      <c r="AX157" s="30">
        <v>98</v>
      </c>
      <c r="AY157" s="30">
        <v>1168</v>
      </c>
      <c r="AZ157" s="30" t="s">
        <v>245</v>
      </c>
      <c r="BA157" s="30" t="s">
        <v>245</v>
      </c>
      <c r="BB157" s="30" t="s">
        <v>245</v>
      </c>
      <c r="BC157" s="30" t="s">
        <v>245</v>
      </c>
      <c r="BD157" s="30">
        <v>506</v>
      </c>
      <c r="BE157" s="30">
        <v>511</v>
      </c>
      <c r="BF157" s="30" t="s">
        <v>245</v>
      </c>
      <c r="BG157" s="30" t="s">
        <v>1499</v>
      </c>
      <c r="BH157" s="30" t="str">
        <f>HYPERLINK("http://dx.doi.org/10.1039/an9739800506","http://dx.doi.org/10.1039/an9739800506")</f>
        <v>http://dx.doi.org/10.1039/an9739800506</v>
      </c>
      <c r="BI157" s="30" t="s">
        <v>245</v>
      </c>
      <c r="BJ157" s="30" t="s">
        <v>245</v>
      </c>
      <c r="BK157" s="30" t="s">
        <v>245</v>
      </c>
      <c r="BL157" s="30" t="s">
        <v>245</v>
      </c>
      <c r="BM157" s="30" t="s">
        <v>245</v>
      </c>
      <c r="BN157" s="30" t="s">
        <v>245</v>
      </c>
      <c r="BO157" s="30" t="s">
        <v>245</v>
      </c>
      <c r="BP157" s="30" t="s">
        <v>245</v>
      </c>
      <c r="BQ157" s="30" t="s">
        <v>245</v>
      </c>
      <c r="BR157" s="30" t="s">
        <v>245</v>
      </c>
      <c r="BS157" s="30" t="s">
        <v>245</v>
      </c>
      <c r="BT157" s="30" t="s">
        <v>245</v>
      </c>
      <c r="BU157" s="30" t="s">
        <v>1500</v>
      </c>
      <c r="BV157" s="30" t="str">
        <f>HYPERLINK("https%3A%2F%2Fwww.webofscience.com%2Fwos%2Fwoscc%2Ffull-record%2FWOS:A1973Q151500006","View Full Record in Web of Science")</f>
        <v>View Full Record in Web of Science</v>
      </c>
    </row>
    <row r="158" spans="1:74" x14ac:dyDescent="0.2">
      <c r="A158" s="30" t="s">
        <v>243</v>
      </c>
      <c r="B158" s="30" t="s">
        <v>1501</v>
      </c>
      <c r="C158" s="30" t="s">
        <v>245</v>
      </c>
      <c r="D158" s="30" t="s">
        <v>245</v>
      </c>
      <c r="E158" s="30" t="s">
        <v>245</v>
      </c>
      <c r="F158" s="30" t="s">
        <v>1502</v>
      </c>
      <c r="G158" s="30" t="s">
        <v>245</v>
      </c>
      <c r="H158" s="30" t="s">
        <v>245</v>
      </c>
      <c r="I158" s="30" t="s">
        <v>2821</v>
      </c>
      <c r="K158" s="30" t="s">
        <v>1503</v>
      </c>
      <c r="L158" s="30" t="s">
        <v>1504</v>
      </c>
      <c r="M158" s="30" t="s">
        <v>245</v>
      </c>
      <c r="N158" s="30" t="s">
        <v>245</v>
      </c>
      <c r="O158" s="30" t="s">
        <v>245</v>
      </c>
      <c r="P158" s="30" t="s">
        <v>245</v>
      </c>
      <c r="Q158" s="30" t="s">
        <v>245</v>
      </c>
      <c r="R158" s="30" t="s">
        <v>245</v>
      </c>
      <c r="S158" s="30" t="s">
        <v>245</v>
      </c>
      <c r="T158" s="30" t="s">
        <v>245</v>
      </c>
      <c r="U158" s="30" t="s">
        <v>245</v>
      </c>
      <c r="V158" s="30" t="s">
        <v>245</v>
      </c>
      <c r="W158" s="30" t="s">
        <v>245</v>
      </c>
      <c r="X158" s="30" t="s">
        <v>245</v>
      </c>
      <c r="Y158" s="30" t="s">
        <v>245</v>
      </c>
      <c r="Z158" s="30" t="s">
        <v>245</v>
      </c>
      <c r="AA158" s="30" t="s">
        <v>245</v>
      </c>
      <c r="AB158" s="30" t="s">
        <v>245</v>
      </c>
      <c r="AC158" s="30" t="s">
        <v>245</v>
      </c>
      <c r="AD158" s="30" t="s">
        <v>245</v>
      </c>
      <c r="AE158" s="30" t="s">
        <v>245</v>
      </c>
      <c r="AF158" s="30" t="s">
        <v>245</v>
      </c>
      <c r="AG158" s="30" t="s">
        <v>245</v>
      </c>
      <c r="AH158" s="30" t="s">
        <v>245</v>
      </c>
      <c r="AI158" s="30" t="s">
        <v>245</v>
      </c>
      <c r="AJ158" s="30" t="s">
        <v>245</v>
      </c>
      <c r="AK158" s="30" t="s">
        <v>245</v>
      </c>
      <c r="AL158" s="30" t="s">
        <v>245</v>
      </c>
      <c r="AM158" s="30" t="s">
        <v>245</v>
      </c>
      <c r="AN158" s="30" t="s">
        <v>245</v>
      </c>
      <c r="AO158" s="30" t="s">
        <v>245</v>
      </c>
      <c r="AP158" s="30" t="s">
        <v>245</v>
      </c>
      <c r="AQ158" s="30" t="s">
        <v>1505</v>
      </c>
      <c r="AR158" s="30" t="s">
        <v>1506</v>
      </c>
      <c r="AS158" s="30" t="s">
        <v>245</v>
      </c>
      <c r="AT158" s="30" t="s">
        <v>245</v>
      </c>
      <c r="AU158" s="30" t="s">
        <v>245</v>
      </c>
      <c r="AV158" s="30" t="s">
        <v>245</v>
      </c>
      <c r="AW158" s="30">
        <v>2018</v>
      </c>
      <c r="AX158" s="30">
        <v>64</v>
      </c>
      <c r="AY158" s="30">
        <v>12</v>
      </c>
      <c r="AZ158" s="30" t="s">
        <v>245</v>
      </c>
      <c r="BA158" s="30" t="s">
        <v>245</v>
      </c>
      <c r="BB158" s="30" t="s">
        <v>245</v>
      </c>
      <c r="BC158" s="30" t="s">
        <v>245</v>
      </c>
      <c r="BD158" s="30">
        <v>597</v>
      </c>
      <c r="BE158" s="30">
        <v>604</v>
      </c>
      <c r="BF158" s="30" t="s">
        <v>245</v>
      </c>
      <c r="BG158" s="30" t="s">
        <v>1507</v>
      </c>
      <c r="BH158" s="30" t="str">
        <f>HYPERLINK("http://dx.doi.org/10.17221/114/2018-PSE","http://dx.doi.org/10.17221/114/2018-PSE")</f>
        <v>http://dx.doi.org/10.17221/114/2018-PSE</v>
      </c>
      <c r="BI158" s="30" t="s">
        <v>245</v>
      </c>
      <c r="BJ158" s="30" t="s">
        <v>245</v>
      </c>
      <c r="BK158" s="30" t="s">
        <v>245</v>
      </c>
      <c r="BL158" s="30" t="s">
        <v>245</v>
      </c>
      <c r="BM158" s="30" t="s">
        <v>245</v>
      </c>
      <c r="BN158" s="30" t="s">
        <v>245</v>
      </c>
      <c r="BO158" s="30" t="s">
        <v>245</v>
      </c>
      <c r="BP158" s="30" t="s">
        <v>245</v>
      </c>
      <c r="BQ158" s="30" t="s">
        <v>245</v>
      </c>
      <c r="BR158" s="30" t="s">
        <v>245</v>
      </c>
      <c r="BS158" s="30" t="s">
        <v>245</v>
      </c>
      <c r="BT158" s="30" t="s">
        <v>245</v>
      </c>
      <c r="BU158" s="30" t="s">
        <v>1508</v>
      </c>
      <c r="BV158" s="30" t="str">
        <f>HYPERLINK("https%3A%2F%2Fwww.webofscience.com%2Fwos%2Fwoscc%2Ffull-record%2FWOS:000451787600005","View Full Record in Web of Science")</f>
        <v>View Full Record in Web of Science</v>
      </c>
    </row>
    <row r="159" spans="1:74" x14ac:dyDescent="0.2">
      <c r="A159" s="30" t="s">
        <v>243</v>
      </c>
      <c r="B159" s="30" t="s">
        <v>1509</v>
      </c>
      <c r="C159" s="30" t="s">
        <v>245</v>
      </c>
      <c r="D159" s="30" t="s">
        <v>245</v>
      </c>
      <c r="E159" s="30" t="s">
        <v>245</v>
      </c>
      <c r="F159" s="30" t="s">
        <v>1509</v>
      </c>
      <c r="G159" s="30" t="s">
        <v>245</v>
      </c>
      <c r="H159" s="30" t="s">
        <v>245</v>
      </c>
      <c r="I159" s="30" t="s">
        <v>2821</v>
      </c>
      <c r="K159" s="30" t="s">
        <v>1510</v>
      </c>
      <c r="L159" s="30" t="s">
        <v>304</v>
      </c>
      <c r="M159" s="30" t="s">
        <v>245</v>
      </c>
      <c r="N159" s="30" t="s">
        <v>245</v>
      </c>
      <c r="O159" s="30" t="s">
        <v>245</v>
      </c>
      <c r="P159" s="30" t="s">
        <v>245</v>
      </c>
      <c r="Q159" s="30" t="s">
        <v>245</v>
      </c>
      <c r="R159" s="30" t="s">
        <v>245</v>
      </c>
      <c r="S159" s="30" t="s">
        <v>245</v>
      </c>
      <c r="T159" s="30" t="s">
        <v>245</v>
      </c>
      <c r="U159" s="30" t="s">
        <v>245</v>
      </c>
      <c r="V159" s="30" t="s">
        <v>245</v>
      </c>
      <c r="W159" s="30" t="s">
        <v>245</v>
      </c>
      <c r="X159" s="30" t="s">
        <v>245</v>
      </c>
      <c r="Y159" s="30" t="s">
        <v>245</v>
      </c>
      <c r="Z159" s="30" t="s">
        <v>245</v>
      </c>
      <c r="AA159" s="30" t="s">
        <v>245</v>
      </c>
      <c r="AB159" s="30" t="s">
        <v>245</v>
      </c>
      <c r="AC159" s="30" t="s">
        <v>245</v>
      </c>
      <c r="AD159" s="30" t="s">
        <v>245</v>
      </c>
      <c r="AE159" s="30" t="s">
        <v>245</v>
      </c>
      <c r="AF159" s="30" t="s">
        <v>245</v>
      </c>
      <c r="AG159" s="30" t="s">
        <v>245</v>
      </c>
      <c r="AH159" s="30" t="s">
        <v>245</v>
      </c>
      <c r="AI159" s="30" t="s">
        <v>245</v>
      </c>
      <c r="AJ159" s="30" t="s">
        <v>245</v>
      </c>
      <c r="AK159" s="30" t="s">
        <v>245</v>
      </c>
      <c r="AL159" s="30" t="s">
        <v>245</v>
      </c>
      <c r="AM159" s="30" t="s">
        <v>245</v>
      </c>
      <c r="AN159" s="30" t="s">
        <v>245</v>
      </c>
      <c r="AO159" s="30" t="s">
        <v>245</v>
      </c>
      <c r="AP159" s="30" t="s">
        <v>245</v>
      </c>
      <c r="AQ159" s="30" t="s">
        <v>307</v>
      </c>
      <c r="AR159" s="30" t="s">
        <v>308</v>
      </c>
      <c r="AS159" s="30" t="s">
        <v>245</v>
      </c>
      <c r="AT159" s="30" t="s">
        <v>245</v>
      </c>
      <c r="AU159" s="30" t="s">
        <v>245</v>
      </c>
      <c r="AV159" s="30" t="s">
        <v>487</v>
      </c>
      <c r="AW159" s="30">
        <v>1987</v>
      </c>
      <c r="AX159" s="30">
        <v>33</v>
      </c>
      <c r="AY159" s="30">
        <v>1</v>
      </c>
      <c r="AZ159" s="30" t="s">
        <v>245</v>
      </c>
      <c r="BA159" s="30" t="s">
        <v>245</v>
      </c>
      <c r="BB159" s="30" t="s">
        <v>245</v>
      </c>
      <c r="BC159" s="30" t="s">
        <v>245</v>
      </c>
      <c r="BD159" s="30">
        <v>35</v>
      </c>
      <c r="BE159" s="30">
        <v>42</v>
      </c>
      <c r="BF159" s="30" t="s">
        <v>245</v>
      </c>
      <c r="BG159" s="30" t="s">
        <v>1511</v>
      </c>
      <c r="BH159" s="30" t="str">
        <f>HYPERLINK("http://dx.doi.org/10.1080/00380768.1987.10557550","http://dx.doi.org/10.1080/00380768.1987.10557550")</f>
        <v>http://dx.doi.org/10.1080/00380768.1987.10557550</v>
      </c>
      <c r="BI159" s="30" t="s">
        <v>245</v>
      </c>
      <c r="BJ159" s="30" t="s">
        <v>245</v>
      </c>
      <c r="BK159" s="30" t="s">
        <v>245</v>
      </c>
      <c r="BL159" s="30" t="s">
        <v>245</v>
      </c>
      <c r="BM159" s="30" t="s">
        <v>245</v>
      </c>
      <c r="BN159" s="30" t="s">
        <v>245</v>
      </c>
      <c r="BO159" s="30" t="s">
        <v>245</v>
      </c>
      <c r="BP159" s="30" t="s">
        <v>245</v>
      </c>
      <c r="BQ159" s="30" t="s">
        <v>245</v>
      </c>
      <c r="BR159" s="30" t="s">
        <v>245</v>
      </c>
      <c r="BS159" s="30" t="s">
        <v>245</v>
      </c>
      <c r="BT159" s="30" t="s">
        <v>245</v>
      </c>
      <c r="BU159" s="30" t="s">
        <v>1512</v>
      </c>
      <c r="BV159" s="30" t="str">
        <f>HYPERLINK("https%3A%2F%2Fwww.webofscience.com%2Fwos%2Fwoscc%2Ffull-record%2FWOS:A1987G641400003","View Full Record in Web of Science")</f>
        <v>View Full Record in Web of Science</v>
      </c>
    </row>
    <row r="160" spans="1:74" x14ac:dyDescent="0.2">
      <c r="A160" s="30" t="s">
        <v>243</v>
      </c>
      <c r="B160" s="30" t="s">
        <v>1513</v>
      </c>
      <c r="C160" s="30" t="s">
        <v>245</v>
      </c>
      <c r="D160" s="30" t="s">
        <v>245</v>
      </c>
      <c r="E160" s="30" t="s">
        <v>245</v>
      </c>
      <c r="F160" s="30" t="s">
        <v>1514</v>
      </c>
      <c r="G160" s="30" t="s">
        <v>245</v>
      </c>
      <c r="H160" s="30" t="s">
        <v>245</v>
      </c>
      <c r="K160" s="30" t="s">
        <v>1515</v>
      </c>
      <c r="L160" s="30" t="s">
        <v>1516</v>
      </c>
      <c r="M160" s="30" t="s">
        <v>245</v>
      </c>
      <c r="N160" s="30" t="s">
        <v>245</v>
      </c>
      <c r="O160" s="30" t="s">
        <v>245</v>
      </c>
      <c r="P160" s="30" t="s">
        <v>245</v>
      </c>
      <c r="Q160" s="30" t="s">
        <v>245</v>
      </c>
      <c r="R160" s="30" t="s">
        <v>245</v>
      </c>
      <c r="S160" s="30" t="s">
        <v>245</v>
      </c>
      <c r="T160" s="30" t="s">
        <v>245</v>
      </c>
      <c r="U160" s="30" t="s">
        <v>245</v>
      </c>
      <c r="V160" s="30" t="s">
        <v>245</v>
      </c>
      <c r="W160" s="30" t="s">
        <v>245</v>
      </c>
      <c r="X160" s="30" t="s">
        <v>245</v>
      </c>
      <c r="Y160" s="30" t="s">
        <v>245</v>
      </c>
      <c r="Z160" s="30" t="s">
        <v>245</v>
      </c>
      <c r="AA160" s="30" t="s">
        <v>245</v>
      </c>
      <c r="AB160" s="30" t="s">
        <v>245</v>
      </c>
      <c r="AC160" s="30" t="s">
        <v>1517</v>
      </c>
      <c r="AD160" s="30" t="s">
        <v>1518</v>
      </c>
      <c r="AE160" s="30" t="s">
        <v>245</v>
      </c>
      <c r="AF160" s="30" t="s">
        <v>245</v>
      </c>
      <c r="AG160" s="30" t="s">
        <v>245</v>
      </c>
      <c r="AH160" s="30" t="s">
        <v>245</v>
      </c>
      <c r="AI160" s="30" t="s">
        <v>245</v>
      </c>
      <c r="AJ160" s="30" t="s">
        <v>245</v>
      </c>
      <c r="AK160" s="30" t="s">
        <v>245</v>
      </c>
      <c r="AL160" s="30" t="s">
        <v>245</v>
      </c>
      <c r="AM160" s="30" t="s">
        <v>245</v>
      </c>
      <c r="AN160" s="30" t="s">
        <v>245</v>
      </c>
      <c r="AO160" s="30" t="s">
        <v>245</v>
      </c>
      <c r="AP160" s="30" t="s">
        <v>245</v>
      </c>
      <c r="AQ160" s="30" t="s">
        <v>1519</v>
      </c>
      <c r="AR160" s="30" t="s">
        <v>1520</v>
      </c>
      <c r="AS160" s="30" t="s">
        <v>245</v>
      </c>
      <c r="AT160" s="30" t="s">
        <v>245</v>
      </c>
      <c r="AU160" s="30" t="s">
        <v>245</v>
      </c>
      <c r="AV160" s="30" t="s">
        <v>1521</v>
      </c>
      <c r="AW160" s="30">
        <v>2019</v>
      </c>
      <c r="AX160" s="30">
        <v>16</v>
      </c>
      <c r="AY160" s="30">
        <v>23</v>
      </c>
      <c r="AZ160" s="30" t="s">
        <v>245</v>
      </c>
      <c r="BA160" s="30" t="s">
        <v>245</v>
      </c>
      <c r="BB160" s="30" t="s">
        <v>245</v>
      </c>
      <c r="BC160" s="30" t="s">
        <v>245</v>
      </c>
      <c r="BD160" s="30">
        <v>4555</v>
      </c>
      <c r="BE160" s="30">
        <v>4575</v>
      </c>
      <c r="BF160" s="30" t="s">
        <v>245</v>
      </c>
      <c r="BG160" s="30" t="s">
        <v>1522</v>
      </c>
      <c r="BH160" s="30" t="str">
        <f>HYPERLINK("http://dx.doi.org/10.5194/bg-16-4555-2019","http://dx.doi.org/10.5194/bg-16-4555-2019")</f>
        <v>http://dx.doi.org/10.5194/bg-16-4555-2019</v>
      </c>
      <c r="BI160" s="30" t="s">
        <v>245</v>
      </c>
      <c r="BJ160" s="30" t="s">
        <v>245</v>
      </c>
      <c r="BK160" s="30" t="s">
        <v>245</v>
      </c>
      <c r="BL160" s="30" t="s">
        <v>245</v>
      </c>
      <c r="BM160" s="30" t="s">
        <v>245</v>
      </c>
      <c r="BN160" s="30" t="s">
        <v>245</v>
      </c>
      <c r="BO160" s="30" t="s">
        <v>245</v>
      </c>
      <c r="BP160" s="30" t="s">
        <v>245</v>
      </c>
      <c r="BQ160" s="30" t="s">
        <v>245</v>
      </c>
      <c r="BR160" s="30" t="s">
        <v>245</v>
      </c>
      <c r="BS160" s="30" t="s">
        <v>245</v>
      </c>
      <c r="BT160" s="30" t="s">
        <v>245</v>
      </c>
      <c r="BU160" s="30" t="s">
        <v>1523</v>
      </c>
      <c r="BV160" s="30" t="str">
        <f>HYPERLINK("https%3A%2F%2Fwww.webofscience.com%2Fwos%2Fwoscc%2Ffull-record%2FWOS:000499703100002","View Full Record in Web of Science")</f>
        <v>View Full Record in Web of Science</v>
      </c>
    </row>
    <row r="161" spans="1:74" x14ac:dyDescent="0.2">
      <c r="A161" s="30" t="s">
        <v>243</v>
      </c>
      <c r="B161" s="30" t="s">
        <v>1524</v>
      </c>
      <c r="C161" s="30" t="s">
        <v>245</v>
      </c>
      <c r="D161" s="30" t="s">
        <v>245</v>
      </c>
      <c r="E161" s="30" t="s">
        <v>245</v>
      </c>
      <c r="F161" s="30" t="s">
        <v>1525</v>
      </c>
      <c r="G161" s="30" t="s">
        <v>245</v>
      </c>
      <c r="H161" s="30" t="s">
        <v>245</v>
      </c>
      <c r="I161" s="30" t="s">
        <v>2823</v>
      </c>
      <c r="K161" s="30" t="s">
        <v>1526</v>
      </c>
      <c r="L161" s="30" t="s">
        <v>432</v>
      </c>
      <c r="M161" s="30" t="s">
        <v>245</v>
      </c>
      <c r="N161" s="30" t="s">
        <v>245</v>
      </c>
      <c r="O161" s="30" t="s">
        <v>245</v>
      </c>
      <c r="P161" s="30" t="s">
        <v>245</v>
      </c>
      <c r="Q161" s="30" t="s">
        <v>245</v>
      </c>
      <c r="R161" s="30" t="s">
        <v>245</v>
      </c>
      <c r="S161" s="30" t="s">
        <v>245</v>
      </c>
      <c r="T161" s="30" t="s">
        <v>245</v>
      </c>
      <c r="U161" s="30" t="s">
        <v>245</v>
      </c>
      <c r="V161" s="30" t="s">
        <v>245</v>
      </c>
      <c r="W161" s="30" t="s">
        <v>245</v>
      </c>
      <c r="X161" s="30" t="s">
        <v>245</v>
      </c>
      <c r="Y161" s="30" t="s">
        <v>245</v>
      </c>
      <c r="Z161" s="30" t="s">
        <v>245</v>
      </c>
      <c r="AA161" s="30" t="s">
        <v>245</v>
      </c>
      <c r="AB161" s="30" t="s">
        <v>245</v>
      </c>
      <c r="AC161" s="30" t="s">
        <v>1527</v>
      </c>
      <c r="AD161" s="30" t="s">
        <v>1528</v>
      </c>
      <c r="AE161" s="30" t="s">
        <v>245</v>
      </c>
      <c r="AF161" s="30" t="s">
        <v>245</v>
      </c>
      <c r="AG161" s="30" t="s">
        <v>245</v>
      </c>
      <c r="AH161" s="30" t="s">
        <v>245</v>
      </c>
      <c r="AI161" s="30" t="s">
        <v>245</v>
      </c>
      <c r="AJ161" s="30" t="s">
        <v>245</v>
      </c>
      <c r="AK161" s="30" t="s">
        <v>245</v>
      </c>
      <c r="AL161" s="30" t="s">
        <v>245</v>
      </c>
      <c r="AM161" s="30" t="s">
        <v>245</v>
      </c>
      <c r="AN161" s="30" t="s">
        <v>245</v>
      </c>
      <c r="AO161" s="30" t="s">
        <v>245</v>
      </c>
      <c r="AP161" s="30" t="s">
        <v>245</v>
      </c>
      <c r="AQ161" s="30" t="s">
        <v>433</v>
      </c>
      <c r="AR161" s="30" t="s">
        <v>434</v>
      </c>
      <c r="AS161" s="30" t="s">
        <v>245</v>
      </c>
      <c r="AT161" s="30" t="s">
        <v>245</v>
      </c>
      <c r="AU161" s="30" t="s">
        <v>245</v>
      </c>
      <c r="AV161" s="30" t="s">
        <v>487</v>
      </c>
      <c r="AW161" s="30">
        <v>2021</v>
      </c>
      <c r="AX161" s="30">
        <v>460</v>
      </c>
      <c r="AY161" s="30" t="s">
        <v>436</v>
      </c>
      <c r="AZ161" s="30" t="s">
        <v>245</v>
      </c>
      <c r="BA161" s="30" t="s">
        <v>245</v>
      </c>
      <c r="BB161" s="30" t="s">
        <v>245</v>
      </c>
      <c r="BC161" s="30" t="s">
        <v>245</v>
      </c>
      <c r="BD161" s="30">
        <v>211</v>
      </c>
      <c r="BE161" s="30">
        <v>227</v>
      </c>
      <c r="BF161" s="30" t="s">
        <v>245</v>
      </c>
      <c r="BG161" s="30" t="s">
        <v>1529</v>
      </c>
      <c r="BH161" s="30" t="str">
        <f>HYPERLINK("http://dx.doi.org/10.1007/s11104-020-04809-5","http://dx.doi.org/10.1007/s11104-020-04809-5")</f>
        <v>http://dx.doi.org/10.1007/s11104-020-04809-5</v>
      </c>
      <c r="BI161" s="30" t="s">
        <v>245</v>
      </c>
      <c r="BJ161" s="30" t="s">
        <v>1530</v>
      </c>
      <c r="BK161" s="30" t="s">
        <v>245</v>
      </c>
      <c r="BL161" s="30" t="s">
        <v>245</v>
      </c>
      <c r="BM161" s="30" t="s">
        <v>245</v>
      </c>
      <c r="BN161" s="30" t="s">
        <v>245</v>
      </c>
      <c r="BO161" s="30" t="s">
        <v>245</v>
      </c>
      <c r="BP161" s="30" t="s">
        <v>245</v>
      </c>
      <c r="BQ161" s="30" t="s">
        <v>245</v>
      </c>
      <c r="BR161" s="30" t="s">
        <v>245</v>
      </c>
      <c r="BS161" s="30" t="s">
        <v>245</v>
      </c>
      <c r="BT161" s="30" t="s">
        <v>245</v>
      </c>
      <c r="BU161" s="30" t="s">
        <v>1531</v>
      </c>
      <c r="BV161" s="30" t="str">
        <f>HYPERLINK("https%3A%2F%2Fwww.webofscience.com%2Fwos%2Fwoscc%2Ffull-record%2FWOS:000606388700002","View Full Record in Web of Science")</f>
        <v>View Full Record in Web of Science</v>
      </c>
    </row>
    <row r="162" spans="1:74" x14ac:dyDescent="0.2">
      <c r="A162" s="30" t="s">
        <v>243</v>
      </c>
      <c r="B162" s="30" t="s">
        <v>1532</v>
      </c>
      <c r="C162" s="30" t="s">
        <v>245</v>
      </c>
      <c r="D162" s="30" t="s">
        <v>245</v>
      </c>
      <c r="E162" s="30" t="s">
        <v>245</v>
      </c>
      <c r="F162" s="30" t="s">
        <v>1533</v>
      </c>
      <c r="G162" s="30" t="s">
        <v>245</v>
      </c>
      <c r="H162" s="30" t="s">
        <v>245</v>
      </c>
      <c r="I162" s="30" t="s">
        <v>2823</v>
      </c>
      <c r="K162" s="30" t="s">
        <v>1534</v>
      </c>
      <c r="L162" s="30" t="s">
        <v>1535</v>
      </c>
      <c r="M162" s="30" t="s">
        <v>245</v>
      </c>
      <c r="N162" s="30" t="s">
        <v>245</v>
      </c>
      <c r="O162" s="30" t="s">
        <v>245</v>
      </c>
      <c r="P162" s="30" t="s">
        <v>245</v>
      </c>
      <c r="Q162" s="30" t="s">
        <v>245</v>
      </c>
      <c r="R162" s="30" t="s">
        <v>245</v>
      </c>
      <c r="S162" s="30" t="s">
        <v>245</v>
      </c>
      <c r="T162" s="30" t="s">
        <v>245</v>
      </c>
      <c r="U162" s="30" t="s">
        <v>245</v>
      </c>
      <c r="V162" s="30" t="s">
        <v>245</v>
      </c>
      <c r="W162" s="30" t="s">
        <v>245</v>
      </c>
      <c r="X162" s="30" t="s">
        <v>245</v>
      </c>
      <c r="Y162" s="30" t="s">
        <v>245</v>
      </c>
      <c r="Z162" s="30" t="s">
        <v>245</v>
      </c>
      <c r="AA162" s="30" t="s">
        <v>245</v>
      </c>
      <c r="AB162" s="30" t="s">
        <v>245</v>
      </c>
      <c r="AC162" s="30" t="s">
        <v>1536</v>
      </c>
      <c r="AD162" s="30" t="s">
        <v>1537</v>
      </c>
      <c r="AE162" s="30" t="s">
        <v>245</v>
      </c>
      <c r="AF162" s="30" t="s">
        <v>245</v>
      </c>
      <c r="AG162" s="30" t="s">
        <v>245</v>
      </c>
      <c r="AH162" s="30" t="s">
        <v>245</v>
      </c>
      <c r="AI162" s="30" t="s">
        <v>245</v>
      </c>
      <c r="AJ162" s="30" t="s">
        <v>245</v>
      </c>
      <c r="AK162" s="30" t="s">
        <v>245</v>
      </c>
      <c r="AL162" s="30" t="s">
        <v>245</v>
      </c>
      <c r="AM162" s="30" t="s">
        <v>245</v>
      </c>
      <c r="AN162" s="30" t="s">
        <v>245</v>
      </c>
      <c r="AO162" s="30" t="s">
        <v>245</v>
      </c>
      <c r="AP162" s="30" t="s">
        <v>245</v>
      </c>
      <c r="AQ162" s="30" t="s">
        <v>1538</v>
      </c>
      <c r="AR162" s="30" t="s">
        <v>1539</v>
      </c>
      <c r="AS162" s="30" t="s">
        <v>245</v>
      </c>
      <c r="AT162" s="30" t="s">
        <v>245</v>
      </c>
      <c r="AU162" s="30" t="s">
        <v>245</v>
      </c>
      <c r="AV162" s="30" t="s">
        <v>487</v>
      </c>
      <c r="AW162" s="30">
        <v>2015</v>
      </c>
      <c r="AX162" s="30">
        <v>64</v>
      </c>
      <c r="AY162" s="30" t="s">
        <v>245</v>
      </c>
      <c r="AZ162" s="30" t="s">
        <v>245</v>
      </c>
      <c r="BA162" s="30" t="s">
        <v>245</v>
      </c>
      <c r="BB162" s="30" t="s">
        <v>245</v>
      </c>
      <c r="BC162" s="30" t="s">
        <v>245</v>
      </c>
      <c r="BD162" s="30">
        <v>47</v>
      </c>
      <c r="BE162" s="30">
        <v>57</v>
      </c>
      <c r="BF162" s="30" t="s">
        <v>245</v>
      </c>
      <c r="BG162" s="30" t="s">
        <v>1540</v>
      </c>
      <c r="BH162" s="30" t="str">
        <f>HYPERLINK("http://dx.doi.org/10.1016/j.eja.2014.11.008","http://dx.doi.org/10.1016/j.eja.2014.11.008")</f>
        <v>http://dx.doi.org/10.1016/j.eja.2014.11.008</v>
      </c>
      <c r="BI162" s="30" t="s">
        <v>245</v>
      </c>
      <c r="BJ162" s="30" t="s">
        <v>245</v>
      </c>
      <c r="BK162" s="30" t="s">
        <v>245</v>
      </c>
      <c r="BL162" s="30" t="s">
        <v>245</v>
      </c>
      <c r="BM162" s="30" t="s">
        <v>245</v>
      </c>
      <c r="BN162" s="30" t="s">
        <v>245</v>
      </c>
      <c r="BO162" s="30" t="s">
        <v>245</v>
      </c>
      <c r="BP162" s="30" t="s">
        <v>245</v>
      </c>
      <c r="BQ162" s="30" t="s">
        <v>245</v>
      </c>
      <c r="BR162" s="30" t="s">
        <v>245</v>
      </c>
      <c r="BS162" s="30" t="s">
        <v>245</v>
      </c>
      <c r="BT162" s="30" t="s">
        <v>245</v>
      </c>
      <c r="BU162" s="30" t="s">
        <v>1541</v>
      </c>
      <c r="BV162" s="30" t="str">
        <f>HYPERLINK("https%3A%2F%2Fwww.webofscience.com%2Fwos%2Fwoscc%2Ffull-record%2FWOS:000349425100006","View Full Record in Web of Science")</f>
        <v>View Full Record in Web of Science</v>
      </c>
    </row>
    <row r="163" spans="1:74" x14ac:dyDescent="0.2">
      <c r="A163" s="30" t="s">
        <v>243</v>
      </c>
      <c r="B163" s="30" t="s">
        <v>1542</v>
      </c>
      <c r="C163" s="30" t="s">
        <v>245</v>
      </c>
      <c r="D163" s="30" t="s">
        <v>245</v>
      </c>
      <c r="E163" s="30" t="s">
        <v>245</v>
      </c>
      <c r="F163" s="30" t="s">
        <v>1542</v>
      </c>
      <c r="G163" s="30" t="s">
        <v>245</v>
      </c>
      <c r="H163" s="30" t="s">
        <v>245</v>
      </c>
      <c r="I163" s="30" t="s">
        <v>2821</v>
      </c>
      <c r="K163" s="30" t="s">
        <v>1543</v>
      </c>
      <c r="L163" s="30" t="s">
        <v>986</v>
      </c>
      <c r="M163" s="30" t="s">
        <v>245</v>
      </c>
      <c r="N163" s="30" t="s">
        <v>245</v>
      </c>
      <c r="O163" s="30" t="s">
        <v>245</v>
      </c>
      <c r="P163" s="30" t="s">
        <v>245</v>
      </c>
      <c r="Q163" s="30" t="s">
        <v>245</v>
      </c>
      <c r="R163" s="30" t="s">
        <v>245</v>
      </c>
      <c r="S163" s="30" t="s">
        <v>245</v>
      </c>
      <c r="T163" s="30" t="s">
        <v>245</v>
      </c>
      <c r="U163" s="30" t="s">
        <v>245</v>
      </c>
      <c r="V163" s="30" t="s">
        <v>245</v>
      </c>
      <c r="W163" s="30" t="s">
        <v>245</v>
      </c>
      <c r="X163" s="30" t="s">
        <v>245</v>
      </c>
      <c r="Y163" s="30" t="s">
        <v>245</v>
      </c>
      <c r="Z163" s="30" t="s">
        <v>245</v>
      </c>
      <c r="AA163" s="30" t="s">
        <v>245</v>
      </c>
      <c r="AB163" s="30" t="s">
        <v>245</v>
      </c>
      <c r="AC163" s="30" t="s">
        <v>245</v>
      </c>
      <c r="AD163" s="30" t="s">
        <v>245</v>
      </c>
      <c r="AE163" s="30" t="s">
        <v>245</v>
      </c>
      <c r="AF163" s="30" t="s">
        <v>245</v>
      </c>
      <c r="AG163" s="30" t="s">
        <v>245</v>
      </c>
      <c r="AH163" s="30" t="s">
        <v>245</v>
      </c>
      <c r="AI163" s="30" t="s">
        <v>245</v>
      </c>
      <c r="AJ163" s="30" t="s">
        <v>245</v>
      </c>
      <c r="AK163" s="30" t="s">
        <v>245</v>
      </c>
      <c r="AL163" s="30" t="s">
        <v>245</v>
      </c>
      <c r="AM163" s="30" t="s">
        <v>245</v>
      </c>
      <c r="AN163" s="30" t="s">
        <v>245</v>
      </c>
      <c r="AO163" s="30" t="s">
        <v>245</v>
      </c>
      <c r="AP163" s="30" t="s">
        <v>245</v>
      </c>
      <c r="AQ163" s="30" t="s">
        <v>987</v>
      </c>
      <c r="AR163" s="30" t="s">
        <v>988</v>
      </c>
      <c r="AS163" s="30" t="s">
        <v>245</v>
      </c>
      <c r="AT163" s="30" t="s">
        <v>245</v>
      </c>
      <c r="AU163" s="30" t="s">
        <v>245</v>
      </c>
      <c r="AV163" s="30" t="s">
        <v>265</v>
      </c>
      <c r="AW163" s="30">
        <v>1990</v>
      </c>
      <c r="AX163" s="30">
        <v>56</v>
      </c>
      <c r="AY163" s="30">
        <v>6</v>
      </c>
      <c r="AZ163" s="30" t="s">
        <v>245</v>
      </c>
      <c r="BA163" s="30" t="s">
        <v>245</v>
      </c>
      <c r="BB163" s="30" t="s">
        <v>245</v>
      </c>
      <c r="BC163" s="30" t="s">
        <v>245</v>
      </c>
      <c r="BD163" s="30">
        <v>1799</v>
      </c>
      <c r="BE163" s="30">
        <v>1805</v>
      </c>
      <c r="BF163" s="30" t="s">
        <v>245</v>
      </c>
      <c r="BG163" s="30" t="s">
        <v>1544</v>
      </c>
      <c r="BH163" s="30" t="str">
        <f>HYPERLINK("http://dx.doi.org/10.1128/AEM.56.6.1799-1805.1990","http://dx.doi.org/10.1128/AEM.56.6.1799-1805.1990")</f>
        <v>http://dx.doi.org/10.1128/AEM.56.6.1799-1805.1990</v>
      </c>
      <c r="BI163" s="30" t="s">
        <v>245</v>
      </c>
      <c r="BJ163" s="30" t="s">
        <v>245</v>
      </c>
      <c r="BK163" s="30" t="s">
        <v>245</v>
      </c>
      <c r="BL163" s="30" t="s">
        <v>245</v>
      </c>
      <c r="BM163" s="30" t="s">
        <v>245</v>
      </c>
      <c r="BN163" s="30" t="s">
        <v>245</v>
      </c>
      <c r="BO163" s="30" t="s">
        <v>245</v>
      </c>
      <c r="BP163" s="30">
        <v>16348220</v>
      </c>
      <c r="BQ163" s="30" t="s">
        <v>245</v>
      </c>
      <c r="BR163" s="30" t="s">
        <v>245</v>
      </c>
      <c r="BS163" s="30" t="s">
        <v>245</v>
      </c>
      <c r="BT163" s="30" t="s">
        <v>245</v>
      </c>
      <c r="BU163" s="30" t="s">
        <v>1545</v>
      </c>
      <c r="BV163" s="30" t="str">
        <f>HYPERLINK("https%3A%2F%2Fwww.webofscience.com%2Fwos%2Fwoscc%2Ffull-record%2FWOS:A1990DG92200047","View Full Record in Web of Science")</f>
        <v>View Full Record in Web of Science</v>
      </c>
    </row>
    <row r="164" spans="1:74" x14ac:dyDescent="0.2">
      <c r="A164" s="30" t="s">
        <v>243</v>
      </c>
      <c r="B164" s="30" t="s">
        <v>1546</v>
      </c>
      <c r="C164" s="30" t="s">
        <v>245</v>
      </c>
      <c r="D164" s="30" t="s">
        <v>245</v>
      </c>
      <c r="E164" s="30" t="s">
        <v>245</v>
      </c>
      <c r="F164" s="30" t="s">
        <v>1547</v>
      </c>
      <c r="G164" s="30" t="s">
        <v>245</v>
      </c>
      <c r="H164" s="30" t="s">
        <v>245</v>
      </c>
      <c r="I164" s="30" t="s">
        <v>2823</v>
      </c>
      <c r="K164" s="30" t="s">
        <v>1548</v>
      </c>
      <c r="L164" s="30" t="s">
        <v>1549</v>
      </c>
      <c r="M164" s="30" t="s">
        <v>245</v>
      </c>
      <c r="N164" s="30" t="s">
        <v>245</v>
      </c>
      <c r="O164" s="30" t="s">
        <v>245</v>
      </c>
      <c r="P164" s="30" t="s">
        <v>245</v>
      </c>
      <c r="Q164" s="30" t="s">
        <v>245</v>
      </c>
      <c r="R164" s="30" t="s">
        <v>245</v>
      </c>
      <c r="S164" s="30" t="s">
        <v>245</v>
      </c>
      <c r="T164" s="30" t="s">
        <v>245</v>
      </c>
      <c r="U164" s="30" t="s">
        <v>245</v>
      </c>
      <c r="V164" s="30" t="s">
        <v>245</v>
      </c>
      <c r="W164" s="30" t="s">
        <v>245</v>
      </c>
      <c r="X164" s="30" t="s">
        <v>245</v>
      </c>
      <c r="Y164" s="30" t="s">
        <v>245</v>
      </c>
      <c r="Z164" s="30" t="s">
        <v>245</v>
      </c>
      <c r="AA164" s="30" t="s">
        <v>245</v>
      </c>
      <c r="AB164" s="30" t="s">
        <v>245</v>
      </c>
      <c r="AC164" s="30" t="s">
        <v>245</v>
      </c>
      <c r="AD164" s="30" t="s">
        <v>1550</v>
      </c>
      <c r="AE164" s="30" t="s">
        <v>245</v>
      </c>
      <c r="AF164" s="30" t="s">
        <v>245</v>
      </c>
      <c r="AG164" s="30" t="s">
        <v>245</v>
      </c>
      <c r="AH164" s="30" t="s">
        <v>245</v>
      </c>
      <c r="AI164" s="30" t="s">
        <v>245</v>
      </c>
      <c r="AJ164" s="30" t="s">
        <v>245</v>
      </c>
      <c r="AK164" s="30" t="s">
        <v>245</v>
      </c>
      <c r="AL164" s="30" t="s">
        <v>245</v>
      </c>
      <c r="AM164" s="30" t="s">
        <v>245</v>
      </c>
      <c r="AN164" s="30" t="s">
        <v>245</v>
      </c>
      <c r="AO164" s="30" t="s">
        <v>245</v>
      </c>
      <c r="AP164" s="30" t="s">
        <v>245</v>
      </c>
      <c r="AQ164" s="30" t="s">
        <v>1551</v>
      </c>
      <c r="AR164" s="30" t="s">
        <v>1552</v>
      </c>
      <c r="AS164" s="30" t="s">
        <v>245</v>
      </c>
      <c r="AT164" s="30" t="s">
        <v>245</v>
      </c>
      <c r="AU164" s="30" t="s">
        <v>245</v>
      </c>
      <c r="AV164" s="30" t="s">
        <v>770</v>
      </c>
      <c r="AW164" s="30">
        <v>2024</v>
      </c>
      <c r="AX164" s="30">
        <v>350</v>
      </c>
      <c r="AY164" s="30" t="s">
        <v>245</v>
      </c>
      <c r="AZ164" s="30" t="s">
        <v>245</v>
      </c>
      <c r="BA164" s="30" t="s">
        <v>245</v>
      </c>
      <c r="BB164" s="30" t="s">
        <v>245</v>
      </c>
      <c r="BC164" s="30" t="s">
        <v>245</v>
      </c>
      <c r="BD164" s="30" t="s">
        <v>245</v>
      </c>
      <c r="BE164" s="30" t="s">
        <v>245</v>
      </c>
      <c r="BF164" s="30">
        <v>123973</v>
      </c>
      <c r="BG164" s="30" t="s">
        <v>1553</v>
      </c>
      <c r="BH164" s="30" t="str">
        <f>HYPERLINK("http://dx.doi.org/10.1016/j.envpol.2024.123973","http://dx.doi.org/10.1016/j.envpol.2024.123973")</f>
        <v>http://dx.doi.org/10.1016/j.envpol.2024.123973</v>
      </c>
      <c r="BI164" s="30" t="s">
        <v>245</v>
      </c>
      <c r="BJ164" s="30" t="s">
        <v>1554</v>
      </c>
      <c r="BK164" s="30" t="s">
        <v>245</v>
      </c>
      <c r="BL164" s="30" t="s">
        <v>245</v>
      </c>
      <c r="BM164" s="30" t="s">
        <v>245</v>
      </c>
      <c r="BN164" s="30" t="s">
        <v>245</v>
      </c>
      <c r="BO164" s="30" t="s">
        <v>245</v>
      </c>
      <c r="BP164" s="30">
        <v>38636841</v>
      </c>
      <c r="BQ164" s="30" t="s">
        <v>245</v>
      </c>
      <c r="BR164" s="30" t="s">
        <v>245</v>
      </c>
      <c r="BS164" s="30" t="s">
        <v>245</v>
      </c>
      <c r="BT164" s="30" t="s">
        <v>245</v>
      </c>
      <c r="BU164" s="30" t="s">
        <v>1555</v>
      </c>
      <c r="BV164" s="30" t="str">
        <f>HYPERLINK("https%3A%2F%2Fwww.webofscience.com%2Fwos%2Fwoscc%2Ffull-record%2FWOS:001237116600001","View Full Record in Web of Science")</f>
        <v>View Full Record in Web of Science</v>
      </c>
    </row>
    <row r="165" spans="1:74" x14ac:dyDescent="0.2">
      <c r="A165" s="30" t="s">
        <v>243</v>
      </c>
      <c r="B165" s="30" t="s">
        <v>1556</v>
      </c>
      <c r="C165" s="30" t="s">
        <v>245</v>
      </c>
      <c r="D165" s="30" t="s">
        <v>245</v>
      </c>
      <c r="E165" s="30" t="s">
        <v>245</v>
      </c>
      <c r="F165" s="30" t="s">
        <v>1557</v>
      </c>
      <c r="G165" s="30" t="s">
        <v>245</v>
      </c>
      <c r="H165" s="30" t="s">
        <v>245</v>
      </c>
      <c r="J165" s="30" t="s">
        <v>2831</v>
      </c>
      <c r="K165" s="30" t="s">
        <v>1558</v>
      </c>
      <c r="L165" s="30" t="s">
        <v>469</v>
      </c>
      <c r="M165" s="30" t="s">
        <v>245</v>
      </c>
      <c r="N165" s="30" t="s">
        <v>245</v>
      </c>
      <c r="O165" s="30" t="s">
        <v>245</v>
      </c>
      <c r="P165" s="30" t="s">
        <v>245</v>
      </c>
      <c r="Q165" s="30" t="s">
        <v>245</v>
      </c>
      <c r="R165" s="30" t="s">
        <v>245</v>
      </c>
      <c r="S165" s="30" t="s">
        <v>245</v>
      </c>
      <c r="T165" s="30" t="s">
        <v>245</v>
      </c>
      <c r="U165" s="30" t="s">
        <v>245</v>
      </c>
      <c r="V165" s="30" t="s">
        <v>245</v>
      </c>
      <c r="W165" s="30" t="s">
        <v>245</v>
      </c>
      <c r="X165" s="30" t="s">
        <v>245</v>
      </c>
      <c r="Y165" s="30" t="s">
        <v>245</v>
      </c>
      <c r="Z165" s="30" t="s">
        <v>245</v>
      </c>
      <c r="AA165" s="30" t="s">
        <v>245</v>
      </c>
      <c r="AB165" s="30" t="s">
        <v>245</v>
      </c>
      <c r="AC165" s="30" t="s">
        <v>245</v>
      </c>
      <c r="AD165" s="30" t="s">
        <v>245</v>
      </c>
      <c r="AE165" s="30" t="s">
        <v>245</v>
      </c>
      <c r="AF165" s="30" t="s">
        <v>245</v>
      </c>
      <c r="AG165" s="30" t="s">
        <v>245</v>
      </c>
      <c r="AH165" s="30" t="s">
        <v>245</v>
      </c>
      <c r="AI165" s="30" t="s">
        <v>245</v>
      </c>
      <c r="AJ165" s="30" t="s">
        <v>245</v>
      </c>
      <c r="AK165" s="30" t="s">
        <v>245</v>
      </c>
      <c r="AL165" s="30" t="s">
        <v>245</v>
      </c>
      <c r="AM165" s="30" t="s">
        <v>245</v>
      </c>
      <c r="AN165" s="30" t="s">
        <v>245</v>
      </c>
      <c r="AO165" s="30" t="s">
        <v>245</v>
      </c>
      <c r="AP165" s="30" t="s">
        <v>245</v>
      </c>
      <c r="AQ165" s="30" t="s">
        <v>472</v>
      </c>
      <c r="AR165" s="30" t="s">
        <v>473</v>
      </c>
      <c r="AS165" s="30" t="s">
        <v>245</v>
      </c>
      <c r="AT165" s="30" t="s">
        <v>245</v>
      </c>
      <c r="AU165" s="30" t="s">
        <v>245</v>
      </c>
      <c r="AV165" s="30" t="s">
        <v>1105</v>
      </c>
      <c r="AW165" s="30">
        <v>2018</v>
      </c>
      <c r="AX165" s="30">
        <v>310</v>
      </c>
      <c r="AY165" s="30" t="s">
        <v>245</v>
      </c>
      <c r="AZ165" s="30" t="s">
        <v>245</v>
      </c>
      <c r="BA165" s="30" t="s">
        <v>245</v>
      </c>
      <c r="BB165" s="30" t="s">
        <v>245</v>
      </c>
      <c r="BC165" s="30" t="s">
        <v>245</v>
      </c>
      <c r="BD165" s="30">
        <v>12</v>
      </c>
      <c r="BE165" s="30">
        <v>21</v>
      </c>
      <c r="BF165" s="30" t="s">
        <v>245</v>
      </c>
      <c r="BG165" s="30" t="s">
        <v>1559</v>
      </c>
      <c r="BH165" s="30" t="str">
        <f>HYPERLINK("http://dx.doi.org/10.1016/j.geoderma.2017.08.040","http://dx.doi.org/10.1016/j.geoderma.2017.08.040")</f>
        <v>http://dx.doi.org/10.1016/j.geoderma.2017.08.040</v>
      </c>
      <c r="BI165" s="30" t="s">
        <v>245</v>
      </c>
      <c r="BJ165" s="30" t="s">
        <v>245</v>
      </c>
      <c r="BK165" s="30" t="s">
        <v>245</v>
      </c>
      <c r="BL165" s="30" t="s">
        <v>245</v>
      </c>
      <c r="BM165" s="30" t="s">
        <v>245</v>
      </c>
      <c r="BN165" s="30" t="s">
        <v>245</v>
      </c>
      <c r="BO165" s="30" t="s">
        <v>245</v>
      </c>
      <c r="BP165" s="30" t="s">
        <v>245</v>
      </c>
      <c r="BQ165" s="30" t="s">
        <v>245</v>
      </c>
      <c r="BR165" s="30" t="s">
        <v>245</v>
      </c>
      <c r="BS165" s="30" t="s">
        <v>245</v>
      </c>
      <c r="BT165" s="30" t="s">
        <v>245</v>
      </c>
      <c r="BU165" s="30" t="s">
        <v>1560</v>
      </c>
      <c r="BV165" s="30" t="str">
        <f>HYPERLINK("https%3A%2F%2Fwww.webofscience.com%2Fwos%2Fwoscc%2Ffull-record%2FWOS:000413799400002","View Full Record in Web of Science")</f>
        <v>View Full Record in Web of Science</v>
      </c>
    </row>
    <row r="166" spans="1:74" x14ac:dyDescent="0.2">
      <c r="A166" s="30" t="s">
        <v>243</v>
      </c>
      <c r="B166" s="30" t="s">
        <v>1561</v>
      </c>
      <c r="C166" s="30" t="s">
        <v>245</v>
      </c>
      <c r="D166" s="30" t="s">
        <v>245</v>
      </c>
      <c r="E166" s="30" t="s">
        <v>245</v>
      </c>
      <c r="F166" s="30" t="s">
        <v>1561</v>
      </c>
      <c r="G166" s="30" t="s">
        <v>245</v>
      </c>
      <c r="H166" s="30" t="s">
        <v>245</v>
      </c>
      <c r="I166" s="30" t="s">
        <v>2823</v>
      </c>
      <c r="K166" s="30" t="s">
        <v>1562</v>
      </c>
      <c r="L166" s="30" t="s">
        <v>1563</v>
      </c>
      <c r="M166" s="30" t="s">
        <v>245</v>
      </c>
      <c r="N166" s="30" t="s">
        <v>245</v>
      </c>
      <c r="O166" s="30" t="s">
        <v>245</v>
      </c>
      <c r="P166" s="30" t="s">
        <v>245</v>
      </c>
      <c r="Q166" s="30" t="s">
        <v>245</v>
      </c>
      <c r="R166" s="30" t="s">
        <v>245</v>
      </c>
      <c r="S166" s="30" t="s">
        <v>245</v>
      </c>
      <c r="T166" s="30" t="s">
        <v>245</v>
      </c>
      <c r="U166" s="30" t="s">
        <v>245</v>
      </c>
      <c r="V166" s="30" t="s">
        <v>245</v>
      </c>
      <c r="W166" s="30" t="s">
        <v>245</v>
      </c>
      <c r="X166" s="30" t="s">
        <v>245</v>
      </c>
      <c r="Y166" s="30" t="s">
        <v>245</v>
      </c>
      <c r="Z166" s="30" t="s">
        <v>245</v>
      </c>
      <c r="AA166" s="30" t="s">
        <v>245</v>
      </c>
      <c r="AB166" s="30" t="s">
        <v>245</v>
      </c>
      <c r="AC166" s="30" t="s">
        <v>245</v>
      </c>
      <c r="AD166" s="30" t="s">
        <v>245</v>
      </c>
      <c r="AE166" s="30" t="s">
        <v>245</v>
      </c>
      <c r="AF166" s="30" t="s">
        <v>245</v>
      </c>
      <c r="AG166" s="30" t="s">
        <v>245</v>
      </c>
      <c r="AH166" s="30" t="s">
        <v>245</v>
      </c>
      <c r="AI166" s="30" t="s">
        <v>245</v>
      </c>
      <c r="AJ166" s="30" t="s">
        <v>245</v>
      </c>
      <c r="AK166" s="30" t="s">
        <v>245</v>
      </c>
      <c r="AL166" s="30" t="s">
        <v>245</v>
      </c>
      <c r="AM166" s="30" t="s">
        <v>245</v>
      </c>
      <c r="AN166" s="30" t="s">
        <v>245</v>
      </c>
      <c r="AO166" s="30" t="s">
        <v>245</v>
      </c>
      <c r="AP166" s="30" t="s">
        <v>245</v>
      </c>
      <c r="AQ166" s="30" t="s">
        <v>1564</v>
      </c>
      <c r="AR166" s="30" t="s">
        <v>1565</v>
      </c>
      <c r="AS166" s="30" t="s">
        <v>245</v>
      </c>
      <c r="AT166" s="30" t="s">
        <v>245</v>
      </c>
      <c r="AU166" s="30" t="s">
        <v>245</v>
      </c>
      <c r="AV166" s="30" t="s">
        <v>535</v>
      </c>
      <c r="AW166" s="30">
        <v>1988</v>
      </c>
      <c r="AX166" s="30">
        <v>40</v>
      </c>
      <c r="AY166" s="30" t="s">
        <v>1566</v>
      </c>
      <c r="AZ166" s="30" t="s">
        <v>245</v>
      </c>
      <c r="BA166" s="30" t="s">
        <v>245</v>
      </c>
      <c r="BB166" s="30" t="s">
        <v>245</v>
      </c>
      <c r="BC166" s="30" t="s">
        <v>245</v>
      </c>
      <c r="BD166" s="30">
        <v>391</v>
      </c>
      <c r="BE166" s="30">
        <v>397</v>
      </c>
      <c r="BF166" s="30" t="s">
        <v>245</v>
      </c>
      <c r="BG166" s="30" t="s">
        <v>245</v>
      </c>
      <c r="BH166" s="30" t="s">
        <v>245</v>
      </c>
      <c r="BI166" s="30" t="s">
        <v>245</v>
      </c>
      <c r="BJ166" s="30" t="s">
        <v>245</v>
      </c>
      <c r="BK166" s="30" t="s">
        <v>245</v>
      </c>
      <c r="BL166" s="30" t="s">
        <v>245</v>
      </c>
      <c r="BM166" s="30" t="s">
        <v>245</v>
      </c>
      <c r="BN166" s="30" t="s">
        <v>245</v>
      </c>
      <c r="BO166" s="30" t="s">
        <v>245</v>
      </c>
      <c r="BP166" s="30" t="s">
        <v>245</v>
      </c>
      <c r="BQ166" s="30" t="s">
        <v>245</v>
      </c>
      <c r="BR166" s="30" t="s">
        <v>245</v>
      </c>
      <c r="BS166" s="30" t="s">
        <v>245</v>
      </c>
      <c r="BT166" s="30" t="s">
        <v>245</v>
      </c>
      <c r="BU166" s="30" t="s">
        <v>1567</v>
      </c>
      <c r="BV166" s="30" t="str">
        <f>HYPERLINK("https%3A%2F%2Fwww.webofscience.com%2Fwos%2Fwoscc%2Ffull-record%2FWOS:A1988R485400013","View Full Record in Web of Science")</f>
        <v>View Full Record in Web of Science</v>
      </c>
    </row>
    <row r="167" spans="1:74" x14ac:dyDescent="0.2">
      <c r="A167" s="30" t="s">
        <v>243</v>
      </c>
      <c r="B167" s="30" t="s">
        <v>1568</v>
      </c>
      <c r="C167" s="30" t="s">
        <v>245</v>
      </c>
      <c r="D167" s="30" t="s">
        <v>245</v>
      </c>
      <c r="E167" s="30" t="s">
        <v>245</v>
      </c>
      <c r="F167" s="30" t="s">
        <v>1568</v>
      </c>
      <c r="G167" s="30" t="s">
        <v>245</v>
      </c>
      <c r="H167" s="30" t="s">
        <v>245</v>
      </c>
      <c r="I167" s="30" t="s">
        <v>2826</v>
      </c>
      <c r="K167" s="30" t="s">
        <v>1569</v>
      </c>
      <c r="L167" s="30" t="s">
        <v>1570</v>
      </c>
      <c r="M167" s="30" t="s">
        <v>245</v>
      </c>
      <c r="N167" s="30" t="s">
        <v>245</v>
      </c>
      <c r="O167" s="30" t="s">
        <v>245</v>
      </c>
      <c r="P167" s="30" t="s">
        <v>245</v>
      </c>
      <c r="Q167" s="30" t="s">
        <v>245</v>
      </c>
      <c r="R167" s="30" t="s">
        <v>245</v>
      </c>
      <c r="S167" s="30" t="s">
        <v>245</v>
      </c>
      <c r="T167" s="30" t="s">
        <v>245</v>
      </c>
      <c r="U167" s="30" t="s">
        <v>245</v>
      </c>
      <c r="V167" s="30" t="s">
        <v>245</v>
      </c>
      <c r="W167" s="30" t="s">
        <v>245</v>
      </c>
      <c r="X167" s="30" t="s">
        <v>245</v>
      </c>
      <c r="Y167" s="30" t="s">
        <v>245</v>
      </c>
      <c r="Z167" s="30" t="s">
        <v>245</v>
      </c>
      <c r="AA167" s="30" t="s">
        <v>245</v>
      </c>
      <c r="AB167" s="30" t="s">
        <v>245</v>
      </c>
      <c r="AC167" s="30" t="s">
        <v>245</v>
      </c>
      <c r="AD167" s="30" t="s">
        <v>245</v>
      </c>
      <c r="AE167" s="30" t="s">
        <v>245</v>
      </c>
      <c r="AF167" s="30" t="s">
        <v>245</v>
      </c>
      <c r="AG167" s="30" t="s">
        <v>245</v>
      </c>
      <c r="AH167" s="30" t="s">
        <v>245</v>
      </c>
      <c r="AI167" s="30" t="s">
        <v>245</v>
      </c>
      <c r="AJ167" s="30" t="s">
        <v>245</v>
      </c>
      <c r="AK167" s="30" t="s">
        <v>245</v>
      </c>
      <c r="AL167" s="30" t="s">
        <v>245</v>
      </c>
      <c r="AM167" s="30" t="s">
        <v>245</v>
      </c>
      <c r="AN167" s="30" t="s">
        <v>245</v>
      </c>
      <c r="AO167" s="30" t="s">
        <v>245</v>
      </c>
      <c r="AP167" s="30" t="s">
        <v>245</v>
      </c>
      <c r="AQ167" s="30" t="s">
        <v>1571</v>
      </c>
      <c r="AR167" s="30" t="s">
        <v>1572</v>
      </c>
      <c r="AS167" s="30" t="s">
        <v>245</v>
      </c>
      <c r="AT167" s="30" t="s">
        <v>245</v>
      </c>
      <c r="AU167" s="30" t="s">
        <v>245</v>
      </c>
      <c r="AV167" s="30" t="s">
        <v>1573</v>
      </c>
      <c r="AW167" s="30">
        <v>2001</v>
      </c>
      <c r="AX167" s="30">
        <v>37</v>
      </c>
      <c r="AY167" s="30">
        <v>1</v>
      </c>
      <c r="AZ167" s="30" t="s">
        <v>245</v>
      </c>
      <c r="BA167" s="30" t="s">
        <v>245</v>
      </c>
      <c r="BB167" s="30" t="s">
        <v>245</v>
      </c>
      <c r="BC167" s="30" t="s">
        <v>245</v>
      </c>
      <c r="BD167" s="30">
        <v>25</v>
      </c>
      <c r="BE167" s="30">
        <v>50</v>
      </c>
      <c r="BF167" s="30" t="s">
        <v>245</v>
      </c>
      <c r="BG167" s="30" t="s">
        <v>1574</v>
      </c>
      <c r="BH167" s="30" t="str">
        <f>HYPERLINK("http://dx.doi.org/10.1016/S1164-5563(01)01067-6","http://dx.doi.org/10.1016/S1164-5563(01)01067-6")</f>
        <v>http://dx.doi.org/10.1016/S1164-5563(01)01067-6</v>
      </c>
      <c r="BI167" s="30" t="s">
        <v>245</v>
      </c>
      <c r="BJ167" s="30" t="s">
        <v>245</v>
      </c>
      <c r="BK167" s="30" t="s">
        <v>245</v>
      </c>
      <c r="BL167" s="30" t="s">
        <v>245</v>
      </c>
      <c r="BM167" s="30" t="s">
        <v>245</v>
      </c>
      <c r="BN167" s="30" t="s">
        <v>245</v>
      </c>
      <c r="BO167" s="30" t="s">
        <v>245</v>
      </c>
      <c r="BP167" s="30" t="s">
        <v>245</v>
      </c>
      <c r="BQ167" s="30" t="s">
        <v>245</v>
      </c>
      <c r="BR167" s="30" t="s">
        <v>245</v>
      </c>
      <c r="BS167" s="30" t="s">
        <v>245</v>
      </c>
      <c r="BT167" s="30" t="s">
        <v>245</v>
      </c>
      <c r="BU167" s="30" t="s">
        <v>1575</v>
      </c>
      <c r="BV167" s="30" t="str">
        <f>HYPERLINK("https%3A%2F%2Fwww.webofscience.com%2Fwos%2Fwoscc%2Ffull-record%2FWOS:000168474700004","View Full Record in Web of Science")</f>
        <v>View Full Record in Web of Science</v>
      </c>
    </row>
    <row r="168" spans="1:74" x14ac:dyDescent="0.2">
      <c r="A168" s="30" t="s">
        <v>243</v>
      </c>
      <c r="B168" s="30" t="s">
        <v>1576</v>
      </c>
      <c r="C168" s="30" t="s">
        <v>245</v>
      </c>
      <c r="D168" s="30" t="s">
        <v>245</v>
      </c>
      <c r="E168" s="30" t="s">
        <v>245</v>
      </c>
      <c r="F168" s="30" t="s">
        <v>1577</v>
      </c>
      <c r="G168" s="30" t="s">
        <v>245</v>
      </c>
      <c r="H168" s="30" t="s">
        <v>245</v>
      </c>
      <c r="I168" s="30" t="s">
        <v>2821</v>
      </c>
      <c r="K168" s="30" t="s">
        <v>1578</v>
      </c>
      <c r="L168" s="30" t="s">
        <v>304</v>
      </c>
      <c r="M168" s="30" t="s">
        <v>245</v>
      </c>
      <c r="N168" s="30" t="s">
        <v>245</v>
      </c>
      <c r="O168" s="30" t="s">
        <v>245</v>
      </c>
      <c r="P168" s="30" t="s">
        <v>245</v>
      </c>
      <c r="Q168" s="30" t="s">
        <v>245</v>
      </c>
      <c r="R168" s="30" t="s">
        <v>245</v>
      </c>
      <c r="S168" s="30" t="s">
        <v>245</v>
      </c>
      <c r="T168" s="30" t="s">
        <v>245</v>
      </c>
      <c r="U168" s="30" t="s">
        <v>245</v>
      </c>
      <c r="V168" s="30" t="s">
        <v>245</v>
      </c>
      <c r="W168" s="30" t="s">
        <v>245</v>
      </c>
      <c r="X168" s="30" t="s">
        <v>245</v>
      </c>
      <c r="Y168" s="30" t="s">
        <v>245</v>
      </c>
      <c r="Z168" s="30" t="s">
        <v>245</v>
      </c>
      <c r="AA168" s="30" t="s">
        <v>245</v>
      </c>
      <c r="AB168" s="30" t="s">
        <v>245</v>
      </c>
      <c r="AC168" s="30" t="s">
        <v>245</v>
      </c>
      <c r="AD168" s="30" t="s">
        <v>245</v>
      </c>
      <c r="AE168" s="30" t="s">
        <v>245</v>
      </c>
      <c r="AF168" s="30" t="s">
        <v>245</v>
      </c>
      <c r="AG168" s="30" t="s">
        <v>245</v>
      </c>
      <c r="AH168" s="30" t="s">
        <v>245</v>
      </c>
      <c r="AI168" s="30" t="s">
        <v>245</v>
      </c>
      <c r="AJ168" s="30" t="s">
        <v>245</v>
      </c>
      <c r="AK168" s="30" t="s">
        <v>245</v>
      </c>
      <c r="AL168" s="30" t="s">
        <v>245</v>
      </c>
      <c r="AM168" s="30" t="s">
        <v>245</v>
      </c>
      <c r="AN168" s="30" t="s">
        <v>245</v>
      </c>
      <c r="AO168" s="30" t="s">
        <v>245</v>
      </c>
      <c r="AP168" s="30" t="s">
        <v>245</v>
      </c>
      <c r="AQ168" s="30" t="s">
        <v>307</v>
      </c>
      <c r="AR168" s="30" t="s">
        <v>308</v>
      </c>
      <c r="AS168" s="30" t="s">
        <v>245</v>
      </c>
      <c r="AT168" s="30" t="s">
        <v>245</v>
      </c>
      <c r="AU168" s="30" t="s">
        <v>245</v>
      </c>
      <c r="AV168" s="30" t="s">
        <v>265</v>
      </c>
      <c r="AW168" s="30">
        <v>2010</v>
      </c>
      <c r="AX168" s="30">
        <v>56</v>
      </c>
      <c r="AY168" s="30">
        <v>3</v>
      </c>
      <c r="AZ168" s="30" t="s">
        <v>245</v>
      </c>
      <c r="BA168" s="30" t="s">
        <v>245</v>
      </c>
      <c r="BB168" s="30" t="s">
        <v>245</v>
      </c>
      <c r="BC168" s="30" t="s">
        <v>245</v>
      </c>
      <c r="BD168" s="30">
        <v>492</v>
      </c>
      <c r="BE168" s="30">
        <v>502</v>
      </c>
      <c r="BF168" s="30" t="s">
        <v>245</v>
      </c>
      <c r="BG168" s="30" t="s">
        <v>1579</v>
      </c>
      <c r="BH168" s="30" t="str">
        <f>HYPERLINK("http://dx.doi.org/10.1111/j.1747-0765.2010.00465.x","http://dx.doi.org/10.1111/j.1747-0765.2010.00465.x")</f>
        <v>http://dx.doi.org/10.1111/j.1747-0765.2010.00465.x</v>
      </c>
      <c r="BI168" s="30" t="s">
        <v>245</v>
      </c>
      <c r="BJ168" s="30" t="s">
        <v>245</v>
      </c>
      <c r="BK168" s="30" t="s">
        <v>245</v>
      </c>
      <c r="BL168" s="30" t="s">
        <v>245</v>
      </c>
      <c r="BM168" s="30" t="s">
        <v>245</v>
      </c>
      <c r="BN168" s="30" t="s">
        <v>245</v>
      </c>
      <c r="BO168" s="30" t="s">
        <v>245</v>
      </c>
      <c r="BP168" s="30" t="s">
        <v>245</v>
      </c>
      <c r="BQ168" s="30" t="s">
        <v>245</v>
      </c>
      <c r="BR168" s="30" t="s">
        <v>245</v>
      </c>
      <c r="BS168" s="30" t="s">
        <v>245</v>
      </c>
      <c r="BT168" s="30" t="s">
        <v>245</v>
      </c>
      <c r="BU168" s="30" t="s">
        <v>1580</v>
      </c>
      <c r="BV168" s="30" t="str">
        <f>HYPERLINK("https%3A%2F%2Fwww.webofscience.com%2Fwos%2Fwoscc%2Ffull-record%2FWOS:000279988400019","View Full Record in Web of Science")</f>
        <v>View Full Record in Web of Science</v>
      </c>
    </row>
    <row r="169" spans="1:74" x14ac:dyDescent="0.2">
      <c r="A169" s="30" t="s">
        <v>243</v>
      </c>
      <c r="B169" s="30" t="s">
        <v>1581</v>
      </c>
      <c r="C169" s="30" t="s">
        <v>245</v>
      </c>
      <c r="D169" s="30" t="s">
        <v>245</v>
      </c>
      <c r="E169" s="30" t="s">
        <v>245</v>
      </c>
      <c r="F169" s="30" t="s">
        <v>1582</v>
      </c>
      <c r="G169" s="30" t="s">
        <v>245</v>
      </c>
      <c r="H169" s="30" t="s">
        <v>245</v>
      </c>
      <c r="I169" s="30" t="s">
        <v>2823</v>
      </c>
      <c r="K169" s="30" t="s">
        <v>1583</v>
      </c>
      <c r="L169" s="30" t="s">
        <v>641</v>
      </c>
      <c r="M169" s="30" t="s">
        <v>245</v>
      </c>
      <c r="N169" s="30" t="s">
        <v>245</v>
      </c>
      <c r="O169" s="30" t="s">
        <v>245</v>
      </c>
      <c r="P169" s="30" t="s">
        <v>245</v>
      </c>
      <c r="Q169" s="30" t="s">
        <v>245</v>
      </c>
      <c r="R169" s="30" t="s">
        <v>245</v>
      </c>
      <c r="S169" s="30" t="s">
        <v>245</v>
      </c>
      <c r="T169" s="30" t="s">
        <v>245</v>
      </c>
      <c r="U169" s="30" t="s">
        <v>245</v>
      </c>
      <c r="V169" s="30" t="s">
        <v>245</v>
      </c>
      <c r="W169" s="30" t="s">
        <v>245</v>
      </c>
      <c r="X169" s="30" t="s">
        <v>245</v>
      </c>
      <c r="Y169" s="30" t="s">
        <v>245</v>
      </c>
      <c r="Z169" s="30" t="s">
        <v>245</v>
      </c>
      <c r="AA169" s="30" t="s">
        <v>245</v>
      </c>
      <c r="AB169" s="30" t="s">
        <v>245</v>
      </c>
      <c r="AC169" s="30" t="s">
        <v>1584</v>
      </c>
      <c r="AD169" s="30" t="s">
        <v>1585</v>
      </c>
      <c r="AE169" s="30" t="s">
        <v>245</v>
      </c>
      <c r="AF169" s="30" t="s">
        <v>245</v>
      </c>
      <c r="AG169" s="30" t="s">
        <v>245</v>
      </c>
      <c r="AH169" s="30" t="s">
        <v>245</v>
      </c>
      <c r="AI169" s="30" t="s">
        <v>245</v>
      </c>
      <c r="AJ169" s="30" t="s">
        <v>245</v>
      </c>
      <c r="AK169" s="30" t="s">
        <v>245</v>
      </c>
      <c r="AL169" s="30" t="s">
        <v>245</v>
      </c>
      <c r="AM169" s="30" t="s">
        <v>245</v>
      </c>
      <c r="AN169" s="30" t="s">
        <v>245</v>
      </c>
      <c r="AO169" s="30" t="s">
        <v>245</v>
      </c>
      <c r="AP169" s="30" t="s">
        <v>245</v>
      </c>
      <c r="AQ169" s="30" t="s">
        <v>644</v>
      </c>
      <c r="AR169" s="30" t="s">
        <v>645</v>
      </c>
      <c r="AS169" s="30" t="s">
        <v>245</v>
      </c>
      <c r="AT169" s="30" t="s">
        <v>245</v>
      </c>
      <c r="AU169" s="30" t="s">
        <v>245</v>
      </c>
      <c r="AV169" s="30" t="s">
        <v>814</v>
      </c>
      <c r="AW169" s="30">
        <v>2006</v>
      </c>
      <c r="AX169" s="30">
        <v>35</v>
      </c>
      <c r="AY169" s="30">
        <v>4</v>
      </c>
      <c r="AZ169" s="30" t="s">
        <v>245</v>
      </c>
      <c r="BA169" s="30" t="s">
        <v>245</v>
      </c>
      <c r="BB169" s="30" t="s">
        <v>245</v>
      </c>
      <c r="BC169" s="30" t="s">
        <v>245</v>
      </c>
      <c r="BD169" s="30">
        <v>973</v>
      </c>
      <c r="BE169" s="30">
        <v>981</v>
      </c>
      <c r="BF169" s="30" t="s">
        <v>245</v>
      </c>
      <c r="BG169" s="30" t="s">
        <v>1586</v>
      </c>
      <c r="BH169" s="30" t="str">
        <f>HYPERLINK("http://dx.doi.org/10.2134/jeq2005.0320","http://dx.doi.org/10.2134/jeq2005.0320")</f>
        <v>http://dx.doi.org/10.2134/jeq2005.0320</v>
      </c>
      <c r="BI169" s="30" t="s">
        <v>245</v>
      </c>
      <c r="BJ169" s="30" t="s">
        <v>245</v>
      </c>
      <c r="BK169" s="30" t="s">
        <v>245</v>
      </c>
      <c r="BL169" s="30" t="s">
        <v>245</v>
      </c>
      <c r="BM169" s="30" t="s">
        <v>245</v>
      </c>
      <c r="BN169" s="30" t="s">
        <v>245</v>
      </c>
      <c r="BO169" s="30" t="s">
        <v>245</v>
      </c>
      <c r="BP169" s="30">
        <v>16738381</v>
      </c>
      <c r="BQ169" s="30" t="s">
        <v>245</v>
      </c>
      <c r="BR169" s="30" t="s">
        <v>245</v>
      </c>
      <c r="BS169" s="30" t="s">
        <v>245</v>
      </c>
      <c r="BT169" s="30" t="s">
        <v>245</v>
      </c>
      <c r="BU169" s="30" t="s">
        <v>1587</v>
      </c>
      <c r="BV169" s="30" t="str">
        <f>HYPERLINK("https%3A%2F%2Fwww.webofscience.com%2Fwos%2Fwoscc%2Ffull-record%2FWOS:000239189900002","View Full Record in Web of Science")</f>
        <v>View Full Record in Web of Science</v>
      </c>
    </row>
    <row r="170" spans="1:74" x14ac:dyDescent="0.2">
      <c r="A170" s="30" t="s">
        <v>243</v>
      </c>
      <c r="B170" s="30" t="s">
        <v>1588</v>
      </c>
      <c r="C170" s="30" t="s">
        <v>245</v>
      </c>
      <c r="D170" s="30" t="s">
        <v>245</v>
      </c>
      <c r="E170" s="30" t="s">
        <v>245</v>
      </c>
      <c r="F170" s="30" t="s">
        <v>1589</v>
      </c>
      <c r="G170" s="30" t="s">
        <v>245</v>
      </c>
      <c r="H170" s="30" t="s">
        <v>245</v>
      </c>
      <c r="J170" s="30" t="s">
        <v>2825</v>
      </c>
      <c r="K170" s="30" t="s">
        <v>1590</v>
      </c>
      <c r="L170" s="30" t="s">
        <v>1591</v>
      </c>
      <c r="M170" s="30" t="s">
        <v>245</v>
      </c>
      <c r="N170" s="30" t="s">
        <v>245</v>
      </c>
      <c r="O170" s="30" t="s">
        <v>245</v>
      </c>
      <c r="P170" s="30" t="s">
        <v>245</v>
      </c>
      <c r="Q170" s="30" t="s">
        <v>245</v>
      </c>
      <c r="R170" s="30" t="s">
        <v>245</v>
      </c>
      <c r="S170" s="30" t="s">
        <v>245</v>
      </c>
      <c r="T170" s="30" t="s">
        <v>245</v>
      </c>
      <c r="U170" s="30" t="s">
        <v>245</v>
      </c>
      <c r="V170" s="30" t="s">
        <v>245</v>
      </c>
      <c r="W170" s="30" t="s">
        <v>245</v>
      </c>
      <c r="X170" s="30" t="s">
        <v>245</v>
      </c>
      <c r="Y170" s="30" t="s">
        <v>245</v>
      </c>
      <c r="Z170" s="30" t="s">
        <v>245</v>
      </c>
      <c r="AA170" s="30" t="s">
        <v>245</v>
      </c>
      <c r="AB170" s="30" t="s">
        <v>245</v>
      </c>
      <c r="AC170" s="30" t="s">
        <v>1592</v>
      </c>
      <c r="AD170" s="30" t="s">
        <v>245</v>
      </c>
      <c r="AE170" s="30" t="s">
        <v>245</v>
      </c>
      <c r="AF170" s="30" t="s">
        <v>245</v>
      </c>
      <c r="AG170" s="30" t="s">
        <v>245</v>
      </c>
      <c r="AH170" s="30" t="s">
        <v>245</v>
      </c>
      <c r="AI170" s="30" t="s">
        <v>245</v>
      </c>
      <c r="AJ170" s="30" t="s">
        <v>245</v>
      </c>
      <c r="AK170" s="30" t="s">
        <v>245</v>
      </c>
      <c r="AL170" s="30" t="s">
        <v>245</v>
      </c>
      <c r="AM170" s="30" t="s">
        <v>245</v>
      </c>
      <c r="AN170" s="30" t="s">
        <v>245</v>
      </c>
      <c r="AO170" s="30" t="s">
        <v>245</v>
      </c>
      <c r="AP170" s="30" t="s">
        <v>245</v>
      </c>
      <c r="AQ170" s="30" t="s">
        <v>1593</v>
      </c>
      <c r="AR170" s="30" t="s">
        <v>1594</v>
      </c>
      <c r="AS170" s="30" t="s">
        <v>245</v>
      </c>
      <c r="AT170" s="30" t="s">
        <v>245</v>
      </c>
      <c r="AU170" s="30" t="s">
        <v>245</v>
      </c>
      <c r="AV170" s="30" t="s">
        <v>635</v>
      </c>
      <c r="AW170" s="30">
        <v>2023</v>
      </c>
      <c r="AX170" s="30">
        <v>288</v>
      </c>
      <c r="AY170" s="30" t="s">
        <v>245</v>
      </c>
      <c r="AZ170" s="30" t="s">
        <v>245</v>
      </c>
      <c r="BA170" s="30" t="s">
        <v>245</v>
      </c>
      <c r="BB170" s="30" t="s">
        <v>245</v>
      </c>
      <c r="BC170" s="30" t="s">
        <v>245</v>
      </c>
      <c r="BD170" s="30" t="s">
        <v>245</v>
      </c>
      <c r="BE170" s="30" t="s">
        <v>245</v>
      </c>
      <c r="BF170" s="30">
        <v>108486</v>
      </c>
      <c r="BG170" s="30" t="s">
        <v>1595</v>
      </c>
      <c r="BH170" s="30" t="str">
        <f>HYPERLINK("http://dx.doi.org/10.1016/j.agwat.2023.108486","http://dx.doi.org/10.1016/j.agwat.2023.108486")</f>
        <v>http://dx.doi.org/10.1016/j.agwat.2023.108486</v>
      </c>
      <c r="BI170" s="30" t="s">
        <v>245</v>
      </c>
      <c r="BJ170" s="30" t="s">
        <v>1596</v>
      </c>
      <c r="BK170" s="30" t="s">
        <v>245</v>
      </c>
      <c r="BL170" s="30" t="s">
        <v>245</v>
      </c>
      <c r="BM170" s="30" t="s">
        <v>245</v>
      </c>
      <c r="BN170" s="30" t="s">
        <v>245</v>
      </c>
      <c r="BO170" s="30" t="s">
        <v>245</v>
      </c>
      <c r="BP170" s="30" t="s">
        <v>245</v>
      </c>
      <c r="BQ170" s="30" t="s">
        <v>245</v>
      </c>
      <c r="BR170" s="30" t="s">
        <v>245</v>
      </c>
      <c r="BS170" s="30" t="s">
        <v>245</v>
      </c>
      <c r="BT170" s="30" t="s">
        <v>245</v>
      </c>
      <c r="BU170" s="30" t="s">
        <v>1597</v>
      </c>
      <c r="BV170" s="30" t="str">
        <f>HYPERLINK("https%3A%2F%2Fwww.webofscience.com%2Fwos%2Fwoscc%2Ffull-record%2FWOS:001067370000001","View Full Record in Web of Science")</f>
        <v>View Full Record in Web of Science</v>
      </c>
    </row>
    <row r="171" spans="1:74" x14ac:dyDescent="0.2">
      <c r="A171" s="30" t="s">
        <v>243</v>
      </c>
      <c r="B171" s="30" t="s">
        <v>1598</v>
      </c>
      <c r="C171" s="30" t="s">
        <v>245</v>
      </c>
      <c r="D171" s="30" t="s">
        <v>245</v>
      </c>
      <c r="E171" s="30" t="s">
        <v>245</v>
      </c>
      <c r="F171" s="30" t="s">
        <v>1599</v>
      </c>
      <c r="G171" s="30" t="s">
        <v>245</v>
      </c>
      <c r="H171" s="30" t="s">
        <v>245</v>
      </c>
      <c r="I171" s="30" t="s">
        <v>2823</v>
      </c>
      <c r="K171" s="30" t="s">
        <v>1600</v>
      </c>
      <c r="L171" s="30" t="s">
        <v>314</v>
      </c>
      <c r="M171" s="30" t="s">
        <v>245</v>
      </c>
      <c r="N171" s="30" t="s">
        <v>245</v>
      </c>
      <c r="O171" s="30" t="s">
        <v>245</v>
      </c>
      <c r="P171" s="30" t="s">
        <v>245</v>
      </c>
      <c r="Q171" s="30" t="s">
        <v>245</v>
      </c>
      <c r="R171" s="30" t="s">
        <v>245</v>
      </c>
      <c r="S171" s="30" t="s">
        <v>245</v>
      </c>
      <c r="T171" s="30" t="s">
        <v>245</v>
      </c>
      <c r="U171" s="30" t="s">
        <v>245</v>
      </c>
      <c r="V171" s="30" t="s">
        <v>245</v>
      </c>
      <c r="W171" s="30" t="s">
        <v>245</v>
      </c>
      <c r="X171" s="30" t="s">
        <v>245</v>
      </c>
      <c r="Y171" s="30" t="s">
        <v>245</v>
      </c>
      <c r="Z171" s="30" t="s">
        <v>245</v>
      </c>
      <c r="AA171" s="30" t="s">
        <v>245</v>
      </c>
      <c r="AB171" s="30" t="s">
        <v>245</v>
      </c>
      <c r="AC171" s="30" t="s">
        <v>1326</v>
      </c>
      <c r="AD171" s="30" t="s">
        <v>245</v>
      </c>
      <c r="AE171" s="30" t="s">
        <v>245</v>
      </c>
      <c r="AF171" s="30" t="s">
        <v>245</v>
      </c>
      <c r="AG171" s="30" t="s">
        <v>245</v>
      </c>
      <c r="AH171" s="30" t="s">
        <v>245</v>
      </c>
      <c r="AI171" s="30" t="s">
        <v>245</v>
      </c>
      <c r="AJ171" s="30" t="s">
        <v>245</v>
      </c>
      <c r="AK171" s="30" t="s">
        <v>245</v>
      </c>
      <c r="AL171" s="30" t="s">
        <v>245</v>
      </c>
      <c r="AM171" s="30" t="s">
        <v>245</v>
      </c>
      <c r="AN171" s="30" t="s">
        <v>245</v>
      </c>
      <c r="AO171" s="30" t="s">
        <v>245</v>
      </c>
      <c r="AP171" s="30" t="s">
        <v>245</v>
      </c>
      <c r="AQ171" s="30" t="s">
        <v>317</v>
      </c>
      <c r="AR171" s="30" t="s">
        <v>318</v>
      </c>
      <c r="AS171" s="30" t="s">
        <v>245</v>
      </c>
      <c r="AT171" s="30" t="s">
        <v>245</v>
      </c>
      <c r="AU171" s="30" t="s">
        <v>245</v>
      </c>
      <c r="AV171" s="30" t="s">
        <v>1601</v>
      </c>
      <c r="AW171" s="30">
        <v>2021</v>
      </c>
      <c r="AX171" s="30">
        <v>64</v>
      </c>
      <c r="AY171" s="30">
        <v>3</v>
      </c>
      <c r="AZ171" s="30" t="s">
        <v>245</v>
      </c>
      <c r="BA171" s="30" t="s">
        <v>245</v>
      </c>
      <c r="BB171" s="30" t="s">
        <v>298</v>
      </c>
      <c r="BC171" s="30" t="s">
        <v>245</v>
      </c>
      <c r="BD171" s="30">
        <v>271</v>
      </c>
      <c r="BE171" s="30">
        <v>285</v>
      </c>
      <c r="BF171" s="30" t="s">
        <v>245</v>
      </c>
      <c r="BG171" s="30" t="s">
        <v>1602</v>
      </c>
      <c r="BH171" s="30" t="str">
        <f>HYPERLINK("http://dx.doi.org/10.1080/00288233.2020.1814823","http://dx.doi.org/10.1080/00288233.2020.1814823")</f>
        <v>http://dx.doi.org/10.1080/00288233.2020.1814823</v>
      </c>
      <c r="BI171" s="30" t="s">
        <v>245</v>
      </c>
      <c r="BJ171" s="30" t="s">
        <v>1603</v>
      </c>
      <c r="BK171" s="30" t="s">
        <v>245</v>
      </c>
      <c r="BL171" s="30" t="s">
        <v>245</v>
      </c>
      <c r="BM171" s="30" t="s">
        <v>245</v>
      </c>
      <c r="BN171" s="30" t="s">
        <v>245</v>
      </c>
      <c r="BO171" s="30" t="s">
        <v>245</v>
      </c>
      <c r="BP171" s="30" t="s">
        <v>245</v>
      </c>
      <c r="BQ171" s="30" t="s">
        <v>245</v>
      </c>
      <c r="BR171" s="30" t="s">
        <v>245</v>
      </c>
      <c r="BS171" s="30" t="s">
        <v>245</v>
      </c>
      <c r="BT171" s="30" t="s">
        <v>245</v>
      </c>
      <c r="BU171" s="30" t="s">
        <v>1604</v>
      </c>
      <c r="BV171" s="30" t="str">
        <f>HYPERLINK("https%3A%2F%2Fwww.webofscience.com%2Fwos%2Fwoscc%2Ffull-record%2FWOS:000568944000001","View Full Record in Web of Science")</f>
        <v>View Full Record in Web of Science</v>
      </c>
    </row>
    <row r="172" spans="1:74" x14ac:dyDescent="0.2">
      <c r="A172" s="30" t="s">
        <v>243</v>
      </c>
      <c r="B172" s="30" t="s">
        <v>1605</v>
      </c>
      <c r="C172" s="30" t="s">
        <v>245</v>
      </c>
      <c r="D172" s="30" t="s">
        <v>245</v>
      </c>
      <c r="E172" s="30" t="s">
        <v>245</v>
      </c>
      <c r="F172" s="30" t="s">
        <v>1606</v>
      </c>
      <c r="G172" s="30" t="s">
        <v>245</v>
      </c>
      <c r="H172" s="30" t="s">
        <v>245</v>
      </c>
      <c r="J172" s="30" t="s">
        <v>2825</v>
      </c>
      <c r="K172" s="30" t="s">
        <v>1607</v>
      </c>
      <c r="L172" s="30" t="s">
        <v>1608</v>
      </c>
      <c r="M172" s="30" t="s">
        <v>245</v>
      </c>
      <c r="N172" s="30" t="s">
        <v>245</v>
      </c>
      <c r="O172" s="30" t="s">
        <v>245</v>
      </c>
      <c r="P172" s="30" t="s">
        <v>245</v>
      </c>
      <c r="Q172" s="30" t="s">
        <v>245</v>
      </c>
      <c r="R172" s="30" t="s">
        <v>245</v>
      </c>
      <c r="S172" s="30" t="s">
        <v>245</v>
      </c>
      <c r="T172" s="30" t="s">
        <v>245</v>
      </c>
      <c r="U172" s="30" t="s">
        <v>245</v>
      </c>
      <c r="V172" s="30" t="s">
        <v>245</v>
      </c>
      <c r="W172" s="30" t="s">
        <v>245</v>
      </c>
      <c r="X172" s="30" t="s">
        <v>245</v>
      </c>
      <c r="Y172" s="30" t="s">
        <v>245</v>
      </c>
      <c r="Z172" s="30" t="s">
        <v>245</v>
      </c>
      <c r="AA172" s="30" t="s">
        <v>245</v>
      </c>
      <c r="AB172" s="30" t="s">
        <v>245</v>
      </c>
      <c r="AC172" s="30" t="s">
        <v>1609</v>
      </c>
      <c r="AD172" s="30" t="s">
        <v>245</v>
      </c>
      <c r="AE172" s="30" t="s">
        <v>245</v>
      </c>
      <c r="AF172" s="30" t="s">
        <v>245</v>
      </c>
      <c r="AG172" s="30" t="s">
        <v>245</v>
      </c>
      <c r="AH172" s="30" t="s">
        <v>245</v>
      </c>
      <c r="AI172" s="30" t="s">
        <v>245</v>
      </c>
      <c r="AJ172" s="30" t="s">
        <v>245</v>
      </c>
      <c r="AK172" s="30" t="s">
        <v>245</v>
      </c>
      <c r="AL172" s="30" t="s">
        <v>245</v>
      </c>
      <c r="AM172" s="30" t="s">
        <v>245</v>
      </c>
      <c r="AN172" s="30" t="s">
        <v>245</v>
      </c>
      <c r="AO172" s="30" t="s">
        <v>245</v>
      </c>
      <c r="AP172" s="30" t="s">
        <v>245</v>
      </c>
      <c r="AQ172" s="30" t="s">
        <v>1610</v>
      </c>
      <c r="AR172" s="30" t="s">
        <v>1611</v>
      </c>
      <c r="AS172" s="30" t="s">
        <v>245</v>
      </c>
      <c r="AT172" s="30" t="s">
        <v>245</v>
      </c>
      <c r="AU172" s="30" t="s">
        <v>245</v>
      </c>
      <c r="AV172" s="30" t="s">
        <v>265</v>
      </c>
      <c r="AW172" s="30">
        <v>2021</v>
      </c>
      <c r="AX172" s="30">
        <v>28</v>
      </c>
      <c r="AY172" s="30">
        <v>24</v>
      </c>
      <c r="AZ172" s="30" t="s">
        <v>245</v>
      </c>
      <c r="BA172" s="30" t="s">
        <v>245</v>
      </c>
      <c r="BB172" s="30" t="s">
        <v>245</v>
      </c>
      <c r="BC172" s="30" t="s">
        <v>245</v>
      </c>
      <c r="BD172" s="30">
        <v>32015</v>
      </c>
      <c r="BE172" s="30">
        <v>32025</v>
      </c>
      <c r="BF172" s="30" t="s">
        <v>245</v>
      </c>
      <c r="BG172" s="30" t="s">
        <v>1612</v>
      </c>
      <c r="BH172" s="30" t="str">
        <f>HYPERLINK("http://dx.doi.org/10.1007/s11356-021-12981-z","http://dx.doi.org/10.1007/s11356-021-12981-z")</f>
        <v>http://dx.doi.org/10.1007/s11356-021-12981-z</v>
      </c>
      <c r="BI172" s="30" t="s">
        <v>245</v>
      </c>
      <c r="BJ172" s="30" t="s">
        <v>489</v>
      </c>
      <c r="BK172" s="30" t="s">
        <v>245</v>
      </c>
      <c r="BL172" s="30" t="s">
        <v>245</v>
      </c>
      <c r="BM172" s="30" t="s">
        <v>245</v>
      </c>
      <c r="BN172" s="30" t="s">
        <v>245</v>
      </c>
      <c r="BO172" s="30" t="s">
        <v>245</v>
      </c>
      <c r="BP172" s="30">
        <v>33624240</v>
      </c>
      <c r="BQ172" s="30" t="s">
        <v>245</v>
      </c>
      <c r="BR172" s="30" t="s">
        <v>245</v>
      </c>
      <c r="BS172" s="30" t="s">
        <v>245</v>
      </c>
      <c r="BT172" s="30" t="s">
        <v>245</v>
      </c>
      <c r="BU172" s="30" t="s">
        <v>1613</v>
      </c>
      <c r="BV172" s="30" t="str">
        <f>HYPERLINK("https%3A%2F%2Fwww.webofscience.com%2Fwos%2Fwoscc%2Ffull-record%2FWOS:000621017700006","View Full Record in Web of Science")</f>
        <v>View Full Record in Web of Science</v>
      </c>
    </row>
    <row r="173" spans="1:74" x14ac:dyDescent="0.2">
      <c r="A173" s="30" t="s">
        <v>243</v>
      </c>
      <c r="B173" s="30" t="s">
        <v>1614</v>
      </c>
      <c r="C173" s="30" t="s">
        <v>245</v>
      </c>
      <c r="D173" s="30" t="s">
        <v>245</v>
      </c>
      <c r="E173" s="30" t="s">
        <v>245</v>
      </c>
      <c r="F173" s="30" t="s">
        <v>1615</v>
      </c>
      <c r="G173" s="30" t="s">
        <v>245</v>
      </c>
      <c r="H173" s="30" t="s">
        <v>245</v>
      </c>
      <c r="I173" s="30" t="s">
        <v>2823</v>
      </c>
      <c r="K173" s="30" t="s">
        <v>1616</v>
      </c>
      <c r="L173" s="30" t="s">
        <v>501</v>
      </c>
      <c r="M173" s="30" t="s">
        <v>245</v>
      </c>
      <c r="N173" s="30" t="s">
        <v>245</v>
      </c>
      <c r="O173" s="30" t="s">
        <v>245</v>
      </c>
      <c r="P173" s="30" t="s">
        <v>245</v>
      </c>
      <c r="Q173" s="30" t="s">
        <v>245</v>
      </c>
      <c r="R173" s="30" t="s">
        <v>245</v>
      </c>
      <c r="S173" s="30" t="s">
        <v>245</v>
      </c>
      <c r="T173" s="30" t="s">
        <v>245</v>
      </c>
      <c r="U173" s="30" t="s">
        <v>245</v>
      </c>
      <c r="V173" s="30" t="s">
        <v>245</v>
      </c>
      <c r="W173" s="30" t="s">
        <v>245</v>
      </c>
      <c r="X173" s="30" t="s">
        <v>245</v>
      </c>
      <c r="Y173" s="30" t="s">
        <v>245</v>
      </c>
      <c r="Z173" s="30" t="s">
        <v>245</v>
      </c>
      <c r="AA173" s="30" t="s">
        <v>245</v>
      </c>
      <c r="AB173" s="30" t="s">
        <v>245</v>
      </c>
      <c r="AC173" s="30" t="s">
        <v>1617</v>
      </c>
      <c r="AD173" s="30" t="s">
        <v>1618</v>
      </c>
      <c r="AE173" s="30" t="s">
        <v>245</v>
      </c>
      <c r="AF173" s="30" t="s">
        <v>245</v>
      </c>
      <c r="AG173" s="30" t="s">
        <v>245</v>
      </c>
      <c r="AH173" s="30" t="s">
        <v>245</v>
      </c>
      <c r="AI173" s="30" t="s">
        <v>245</v>
      </c>
      <c r="AJ173" s="30" t="s">
        <v>245</v>
      </c>
      <c r="AK173" s="30" t="s">
        <v>245</v>
      </c>
      <c r="AL173" s="30" t="s">
        <v>245</v>
      </c>
      <c r="AM173" s="30" t="s">
        <v>245</v>
      </c>
      <c r="AN173" s="30" t="s">
        <v>245</v>
      </c>
      <c r="AO173" s="30" t="s">
        <v>245</v>
      </c>
      <c r="AP173" s="30" t="s">
        <v>245</v>
      </c>
      <c r="AQ173" s="30" t="s">
        <v>504</v>
      </c>
      <c r="AR173" s="30" t="s">
        <v>505</v>
      </c>
      <c r="AS173" s="30" t="s">
        <v>245</v>
      </c>
      <c r="AT173" s="30" t="s">
        <v>245</v>
      </c>
      <c r="AU173" s="30" t="s">
        <v>245</v>
      </c>
      <c r="AV173" s="30" t="s">
        <v>265</v>
      </c>
      <c r="AW173" s="30">
        <v>2020</v>
      </c>
      <c r="AX173" s="30">
        <v>150</v>
      </c>
      <c r="AY173" s="30" t="s">
        <v>245</v>
      </c>
      <c r="AZ173" s="30" t="s">
        <v>245</v>
      </c>
      <c r="BA173" s="30" t="s">
        <v>245</v>
      </c>
      <c r="BB173" s="30" t="s">
        <v>245</v>
      </c>
      <c r="BC173" s="30" t="s">
        <v>245</v>
      </c>
      <c r="BD173" s="30" t="s">
        <v>245</v>
      </c>
      <c r="BE173" s="30" t="s">
        <v>245</v>
      </c>
      <c r="BF173" s="30">
        <v>103440</v>
      </c>
      <c r="BG173" s="30" t="s">
        <v>1619</v>
      </c>
      <c r="BH173" s="30" t="str">
        <f>HYPERLINK("http://dx.doi.org/10.1016/j.apsoil.2019.103440","http://dx.doi.org/10.1016/j.apsoil.2019.103440")</f>
        <v>http://dx.doi.org/10.1016/j.apsoil.2019.103440</v>
      </c>
      <c r="BI173" s="30" t="s">
        <v>245</v>
      </c>
      <c r="BJ173" s="30" t="s">
        <v>245</v>
      </c>
      <c r="BK173" s="30" t="s">
        <v>245</v>
      </c>
      <c r="BL173" s="30" t="s">
        <v>245</v>
      </c>
      <c r="BM173" s="30" t="s">
        <v>245</v>
      </c>
      <c r="BN173" s="30" t="s">
        <v>245</v>
      </c>
      <c r="BO173" s="30" t="s">
        <v>245</v>
      </c>
      <c r="BP173" s="30" t="s">
        <v>245</v>
      </c>
      <c r="BQ173" s="30" t="s">
        <v>245</v>
      </c>
      <c r="BR173" s="30" t="s">
        <v>245</v>
      </c>
      <c r="BS173" s="30" t="s">
        <v>245</v>
      </c>
      <c r="BT173" s="30" t="s">
        <v>245</v>
      </c>
      <c r="BU173" s="30" t="s">
        <v>1620</v>
      </c>
      <c r="BV173" s="30" t="str">
        <f>HYPERLINK("https%3A%2F%2Fwww.webofscience.com%2Fwos%2Fwoscc%2Ffull-record%2FWOS:000512886800003","View Full Record in Web of Science")</f>
        <v>View Full Record in Web of Science</v>
      </c>
    </row>
    <row r="174" spans="1:74" x14ac:dyDescent="0.2">
      <c r="A174" s="30" t="s">
        <v>243</v>
      </c>
      <c r="B174" s="30" t="s">
        <v>1621</v>
      </c>
      <c r="C174" s="30" t="s">
        <v>245</v>
      </c>
      <c r="D174" s="30" t="s">
        <v>245</v>
      </c>
      <c r="E174" s="30" t="s">
        <v>245</v>
      </c>
      <c r="F174" s="30" t="s">
        <v>1622</v>
      </c>
      <c r="G174" s="30" t="s">
        <v>245</v>
      </c>
      <c r="H174" s="30" t="s">
        <v>245</v>
      </c>
      <c r="I174" s="30" t="s">
        <v>2823</v>
      </c>
      <c r="K174" s="30" t="s">
        <v>1623</v>
      </c>
      <c r="L174" s="30" t="s">
        <v>501</v>
      </c>
      <c r="M174" s="30" t="s">
        <v>245</v>
      </c>
      <c r="N174" s="30" t="s">
        <v>245</v>
      </c>
      <c r="O174" s="30" t="s">
        <v>245</v>
      </c>
      <c r="P174" s="30" t="s">
        <v>245</v>
      </c>
      <c r="Q174" s="30" t="s">
        <v>245</v>
      </c>
      <c r="R174" s="30" t="s">
        <v>245</v>
      </c>
      <c r="S174" s="30" t="s">
        <v>245</v>
      </c>
      <c r="T174" s="30" t="s">
        <v>245</v>
      </c>
      <c r="U174" s="30" t="s">
        <v>245</v>
      </c>
      <c r="V174" s="30" t="s">
        <v>245</v>
      </c>
      <c r="W174" s="30" t="s">
        <v>245</v>
      </c>
      <c r="X174" s="30" t="s">
        <v>245</v>
      </c>
      <c r="Y174" s="30" t="s">
        <v>245</v>
      </c>
      <c r="Z174" s="30" t="s">
        <v>245</v>
      </c>
      <c r="AA174" s="30" t="s">
        <v>245</v>
      </c>
      <c r="AB174" s="30" t="s">
        <v>245</v>
      </c>
      <c r="AC174" s="30" t="s">
        <v>1624</v>
      </c>
      <c r="AD174" s="30" t="s">
        <v>245</v>
      </c>
      <c r="AE174" s="30" t="s">
        <v>245</v>
      </c>
      <c r="AF174" s="30" t="s">
        <v>245</v>
      </c>
      <c r="AG174" s="30" t="s">
        <v>245</v>
      </c>
      <c r="AH174" s="30" t="s">
        <v>245</v>
      </c>
      <c r="AI174" s="30" t="s">
        <v>245</v>
      </c>
      <c r="AJ174" s="30" t="s">
        <v>245</v>
      </c>
      <c r="AK174" s="30" t="s">
        <v>245</v>
      </c>
      <c r="AL174" s="30" t="s">
        <v>245</v>
      </c>
      <c r="AM174" s="30" t="s">
        <v>245</v>
      </c>
      <c r="AN174" s="30" t="s">
        <v>245</v>
      </c>
      <c r="AO174" s="30" t="s">
        <v>245</v>
      </c>
      <c r="AP174" s="30" t="s">
        <v>245</v>
      </c>
      <c r="AQ174" s="30" t="s">
        <v>504</v>
      </c>
      <c r="AR174" s="30" t="s">
        <v>505</v>
      </c>
      <c r="AS174" s="30" t="s">
        <v>245</v>
      </c>
      <c r="AT174" s="30" t="s">
        <v>245</v>
      </c>
      <c r="AU174" s="30" t="s">
        <v>245</v>
      </c>
      <c r="AV174" s="30" t="s">
        <v>481</v>
      </c>
      <c r="AW174" s="30">
        <v>2019</v>
      </c>
      <c r="AX174" s="30">
        <v>144</v>
      </c>
      <c r="AY174" s="30" t="s">
        <v>245</v>
      </c>
      <c r="AZ174" s="30" t="s">
        <v>245</v>
      </c>
      <c r="BA174" s="30" t="s">
        <v>245</v>
      </c>
      <c r="BB174" s="30" t="s">
        <v>245</v>
      </c>
      <c r="BC174" s="30" t="s">
        <v>245</v>
      </c>
      <c r="BD174" s="30">
        <v>60</v>
      </c>
      <c r="BE174" s="30">
        <v>67</v>
      </c>
      <c r="BF174" s="30" t="s">
        <v>245</v>
      </c>
      <c r="BG174" s="30" t="s">
        <v>1625</v>
      </c>
      <c r="BH174" s="30" t="str">
        <f>HYPERLINK("http://dx.doi.org/10.1016/j.apsoil.2019.07.009","http://dx.doi.org/10.1016/j.apsoil.2019.07.009")</f>
        <v>http://dx.doi.org/10.1016/j.apsoil.2019.07.009</v>
      </c>
      <c r="BI174" s="30" t="s">
        <v>245</v>
      </c>
      <c r="BJ174" s="30" t="s">
        <v>245</v>
      </c>
      <c r="BK174" s="30" t="s">
        <v>245</v>
      </c>
      <c r="BL174" s="30" t="s">
        <v>245</v>
      </c>
      <c r="BM174" s="30" t="s">
        <v>245</v>
      </c>
      <c r="BN174" s="30" t="s">
        <v>245</v>
      </c>
      <c r="BO174" s="30" t="s">
        <v>245</v>
      </c>
      <c r="BP174" s="30" t="s">
        <v>245</v>
      </c>
      <c r="BQ174" s="30" t="s">
        <v>245</v>
      </c>
      <c r="BR174" s="30" t="s">
        <v>245</v>
      </c>
      <c r="BS174" s="30" t="s">
        <v>245</v>
      </c>
      <c r="BT174" s="30" t="s">
        <v>245</v>
      </c>
      <c r="BU174" s="30" t="s">
        <v>1626</v>
      </c>
      <c r="BV174" s="30" t="str">
        <f>HYPERLINK("https%3A%2F%2Fwww.webofscience.com%2Fwos%2Fwoscc%2Ffull-record%2FWOS:000485174500008","View Full Record in Web of Science")</f>
        <v>View Full Record in Web of Science</v>
      </c>
    </row>
    <row r="175" spans="1:74" x14ac:dyDescent="0.2">
      <c r="A175" s="30" t="s">
        <v>243</v>
      </c>
      <c r="B175" s="30" t="s">
        <v>1627</v>
      </c>
      <c r="C175" s="30" t="s">
        <v>245</v>
      </c>
      <c r="D175" s="30" t="s">
        <v>245</v>
      </c>
      <c r="E175" s="30" t="s">
        <v>245</v>
      </c>
      <c r="F175" s="30" t="s">
        <v>1628</v>
      </c>
      <c r="G175" s="30" t="s">
        <v>245</v>
      </c>
      <c r="H175" s="30" t="s">
        <v>245</v>
      </c>
      <c r="J175" s="30" t="s">
        <v>2825</v>
      </c>
      <c r="K175" s="30" t="s">
        <v>1629</v>
      </c>
      <c r="L175" s="30" t="s">
        <v>413</v>
      </c>
      <c r="M175" s="30" t="s">
        <v>245</v>
      </c>
      <c r="N175" s="30" t="s">
        <v>245</v>
      </c>
      <c r="O175" s="30" t="s">
        <v>245</v>
      </c>
      <c r="P175" s="30" t="s">
        <v>245</v>
      </c>
      <c r="Q175" s="30" t="s">
        <v>245</v>
      </c>
      <c r="R175" s="30" t="s">
        <v>245</v>
      </c>
      <c r="S175" s="30" t="s">
        <v>245</v>
      </c>
      <c r="T175" s="30" t="s">
        <v>245</v>
      </c>
      <c r="U175" s="30" t="s">
        <v>245</v>
      </c>
      <c r="V175" s="30" t="s">
        <v>245</v>
      </c>
      <c r="W175" s="30" t="s">
        <v>245</v>
      </c>
      <c r="X175" s="30" t="s">
        <v>245</v>
      </c>
      <c r="Y175" s="30" t="s">
        <v>245</v>
      </c>
      <c r="Z175" s="30" t="s">
        <v>245</v>
      </c>
      <c r="AA175" s="30" t="s">
        <v>245</v>
      </c>
      <c r="AB175" s="30" t="s">
        <v>245</v>
      </c>
      <c r="AC175" s="30" t="s">
        <v>245</v>
      </c>
      <c r="AD175" s="30" t="s">
        <v>1630</v>
      </c>
      <c r="AE175" s="30" t="s">
        <v>245</v>
      </c>
      <c r="AF175" s="30" t="s">
        <v>245</v>
      </c>
      <c r="AG175" s="30" t="s">
        <v>245</v>
      </c>
      <c r="AH175" s="30" t="s">
        <v>245</v>
      </c>
      <c r="AI175" s="30" t="s">
        <v>245</v>
      </c>
      <c r="AJ175" s="30" t="s">
        <v>245</v>
      </c>
      <c r="AK175" s="30" t="s">
        <v>245</v>
      </c>
      <c r="AL175" s="30" t="s">
        <v>245</v>
      </c>
      <c r="AM175" s="30" t="s">
        <v>245</v>
      </c>
      <c r="AN175" s="30" t="s">
        <v>245</v>
      </c>
      <c r="AO175" s="30" t="s">
        <v>245</v>
      </c>
      <c r="AP175" s="30" t="s">
        <v>245</v>
      </c>
      <c r="AQ175" s="30" t="s">
        <v>416</v>
      </c>
      <c r="AR175" s="30" t="s">
        <v>417</v>
      </c>
      <c r="AS175" s="30" t="s">
        <v>245</v>
      </c>
      <c r="AT175" s="30" t="s">
        <v>245</v>
      </c>
      <c r="AU175" s="30" t="s">
        <v>245</v>
      </c>
      <c r="AV175" s="30" t="s">
        <v>1631</v>
      </c>
      <c r="AW175" s="30">
        <v>2021</v>
      </c>
      <c r="AX175" s="30">
        <v>770</v>
      </c>
      <c r="AY175" s="30" t="s">
        <v>245</v>
      </c>
      <c r="AZ175" s="30" t="s">
        <v>245</v>
      </c>
      <c r="BA175" s="30" t="s">
        <v>245</v>
      </c>
      <c r="BB175" s="30" t="s">
        <v>245</v>
      </c>
      <c r="BC175" s="30" t="s">
        <v>245</v>
      </c>
      <c r="BD175" s="30" t="s">
        <v>245</v>
      </c>
      <c r="BE175" s="30" t="s">
        <v>245</v>
      </c>
      <c r="BF175" s="30">
        <v>143212</v>
      </c>
      <c r="BG175" s="30" t="s">
        <v>1632</v>
      </c>
      <c r="BH175" s="30" t="str">
        <f>HYPERLINK("http://dx.doi.org/10.1016/j.scitotenv.2020.143212","http://dx.doi.org/10.1016/j.scitotenv.2020.143212")</f>
        <v>http://dx.doi.org/10.1016/j.scitotenv.2020.143212</v>
      </c>
      <c r="BI175" s="30" t="s">
        <v>245</v>
      </c>
      <c r="BJ175" s="30" t="s">
        <v>524</v>
      </c>
      <c r="BK175" s="30" t="s">
        <v>245</v>
      </c>
      <c r="BL175" s="30" t="s">
        <v>245</v>
      </c>
      <c r="BM175" s="30" t="s">
        <v>245</v>
      </c>
      <c r="BN175" s="30" t="s">
        <v>245</v>
      </c>
      <c r="BO175" s="30" t="s">
        <v>245</v>
      </c>
      <c r="BP175" s="30">
        <v>33257072</v>
      </c>
      <c r="BQ175" s="30" t="s">
        <v>245</v>
      </c>
      <c r="BR175" s="30" t="s">
        <v>245</v>
      </c>
      <c r="BS175" s="30" t="s">
        <v>245</v>
      </c>
      <c r="BT175" s="30" t="s">
        <v>245</v>
      </c>
      <c r="BU175" s="30" t="s">
        <v>1633</v>
      </c>
      <c r="BV175" s="30" t="str">
        <f>HYPERLINK("https%3A%2F%2Fwww.webofscience.com%2Fwos%2Fwoscc%2Ffull-record%2FWOS:000627896100001","View Full Record in Web of Science")</f>
        <v>View Full Record in Web of Science</v>
      </c>
    </row>
    <row r="176" spans="1:74" x14ac:dyDescent="0.2">
      <c r="A176" s="30" t="s">
        <v>243</v>
      </c>
      <c r="B176" s="30" t="s">
        <v>1634</v>
      </c>
      <c r="C176" s="30" t="s">
        <v>245</v>
      </c>
      <c r="D176" s="30" t="s">
        <v>245</v>
      </c>
      <c r="E176" s="30" t="s">
        <v>245</v>
      </c>
      <c r="F176" s="30" t="s">
        <v>1635</v>
      </c>
      <c r="G176" s="30" t="s">
        <v>245</v>
      </c>
      <c r="H176" s="30" t="s">
        <v>245</v>
      </c>
      <c r="I176" s="30" t="s">
        <v>2821</v>
      </c>
      <c r="K176" s="30" t="s">
        <v>1636</v>
      </c>
      <c r="L176" s="30" t="s">
        <v>413</v>
      </c>
      <c r="M176" s="30" t="s">
        <v>245</v>
      </c>
      <c r="N176" s="30" t="s">
        <v>245</v>
      </c>
      <c r="O176" s="30" t="s">
        <v>245</v>
      </c>
      <c r="P176" s="30" t="s">
        <v>245</v>
      </c>
      <c r="Q176" s="30" t="s">
        <v>245</v>
      </c>
      <c r="R176" s="30" t="s">
        <v>245</v>
      </c>
      <c r="S176" s="30" t="s">
        <v>245</v>
      </c>
      <c r="T176" s="30" t="s">
        <v>245</v>
      </c>
      <c r="U176" s="30" t="s">
        <v>245</v>
      </c>
      <c r="V176" s="30" t="s">
        <v>245</v>
      </c>
      <c r="W176" s="30" t="s">
        <v>245</v>
      </c>
      <c r="X176" s="30" t="s">
        <v>245</v>
      </c>
      <c r="Y176" s="30" t="s">
        <v>245</v>
      </c>
      <c r="Z176" s="30" t="s">
        <v>245</v>
      </c>
      <c r="AA176" s="30" t="s">
        <v>245</v>
      </c>
      <c r="AB176" s="30" t="s">
        <v>245</v>
      </c>
      <c r="AC176" s="30" t="s">
        <v>1637</v>
      </c>
      <c r="AD176" s="30" t="s">
        <v>1638</v>
      </c>
      <c r="AE176" s="30" t="s">
        <v>245</v>
      </c>
      <c r="AF176" s="30" t="s">
        <v>245</v>
      </c>
      <c r="AG176" s="30" t="s">
        <v>245</v>
      </c>
      <c r="AH176" s="30" t="s">
        <v>245</v>
      </c>
      <c r="AI176" s="30" t="s">
        <v>245</v>
      </c>
      <c r="AJ176" s="30" t="s">
        <v>245</v>
      </c>
      <c r="AK176" s="30" t="s">
        <v>245</v>
      </c>
      <c r="AL176" s="30" t="s">
        <v>245</v>
      </c>
      <c r="AM176" s="30" t="s">
        <v>245</v>
      </c>
      <c r="AN176" s="30" t="s">
        <v>245</v>
      </c>
      <c r="AO176" s="30" t="s">
        <v>245</v>
      </c>
      <c r="AP176" s="30" t="s">
        <v>245</v>
      </c>
      <c r="AQ176" s="30" t="s">
        <v>416</v>
      </c>
      <c r="AR176" s="30" t="s">
        <v>417</v>
      </c>
      <c r="AS176" s="30" t="s">
        <v>245</v>
      </c>
      <c r="AT176" s="30" t="s">
        <v>245</v>
      </c>
      <c r="AU176" s="30" t="s">
        <v>245</v>
      </c>
      <c r="AV176" s="30" t="s">
        <v>1639</v>
      </c>
      <c r="AW176" s="30">
        <v>2023</v>
      </c>
      <c r="AX176" s="30">
        <v>868</v>
      </c>
      <c r="AY176" s="30" t="s">
        <v>245</v>
      </c>
      <c r="AZ176" s="30" t="s">
        <v>245</v>
      </c>
      <c r="BA176" s="30" t="s">
        <v>245</v>
      </c>
      <c r="BB176" s="30" t="s">
        <v>245</v>
      </c>
      <c r="BC176" s="30" t="s">
        <v>245</v>
      </c>
      <c r="BD176" s="30" t="s">
        <v>245</v>
      </c>
      <c r="BE176" s="30" t="s">
        <v>245</v>
      </c>
      <c r="BF176" s="30">
        <v>161500</v>
      </c>
      <c r="BG176" s="30" t="s">
        <v>1640</v>
      </c>
      <c r="BH176" s="30" t="str">
        <f>HYPERLINK("http://dx.doi.org/10.1016/j.scitotenv.2023.161500","http://dx.doi.org/10.1016/j.scitotenv.2023.161500")</f>
        <v>http://dx.doi.org/10.1016/j.scitotenv.2023.161500</v>
      </c>
      <c r="BI176" s="30" t="s">
        <v>245</v>
      </c>
      <c r="BJ176" s="30" t="s">
        <v>1641</v>
      </c>
      <c r="BK176" s="30" t="s">
        <v>245</v>
      </c>
      <c r="BL176" s="30" t="s">
        <v>245</v>
      </c>
      <c r="BM176" s="30" t="s">
        <v>245</v>
      </c>
      <c r="BN176" s="30" t="s">
        <v>245</v>
      </c>
      <c r="BO176" s="30" t="s">
        <v>245</v>
      </c>
      <c r="BP176" s="30">
        <v>36690113</v>
      </c>
      <c r="BQ176" s="30" t="s">
        <v>245</v>
      </c>
      <c r="BR176" s="30" t="s">
        <v>245</v>
      </c>
      <c r="BS176" s="30" t="s">
        <v>245</v>
      </c>
      <c r="BT176" s="30" t="s">
        <v>245</v>
      </c>
      <c r="BU176" s="30" t="s">
        <v>1642</v>
      </c>
      <c r="BV176" s="30" t="str">
        <f>HYPERLINK("https%3A%2F%2Fwww.webofscience.com%2Fwos%2Fwoscc%2Ffull-record%2FWOS:000926028500001","View Full Record in Web of Science")</f>
        <v>View Full Record in Web of Science</v>
      </c>
    </row>
    <row r="177" spans="1:74" x14ac:dyDescent="0.2">
      <c r="A177" s="30" t="s">
        <v>243</v>
      </c>
      <c r="B177" s="30" t="s">
        <v>1643</v>
      </c>
      <c r="C177" s="30" t="s">
        <v>245</v>
      </c>
      <c r="D177" s="30" t="s">
        <v>245</v>
      </c>
      <c r="E177" s="30" t="s">
        <v>245</v>
      </c>
      <c r="F177" s="30" t="s">
        <v>1644</v>
      </c>
      <c r="G177" s="30" t="s">
        <v>245</v>
      </c>
      <c r="H177" s="30" t="s">
        <v>245</v>
      </c>
      <c r="I177" s="30" t="s">
        <v>2821</v>
      </c>
      <c r="K177" s="30" t="s">
        <v>1645</v>
      </c>
      <c r="L177" s="30" t="s">
        <v>1646</v>
      </c>
      <c r="M177" s="30" t="s">
        <v>245</v>
      </c>
      <c r="N177" s="30" t="s">
        <v>245</v>
      </c>
      <c r="O177" s="30" t="s">
        <v>245</v>
      </c>
      <c r="P177" s="30" t="s">
        <v>245</v>
      </c>
      <c r="Q177" s="30" t="s">
        <v>245</v>
      </c>
      <c r="R177" s="30" t="s">
        <v>245</v>
      </c>
      <c r="S177" s="30" t="s">
        <v>245</v>
      </c>
      <c r="T177" s="30" t="s">
        <v>245</v>
      </c>
      <c r="U177" s="30" t="s">
        <v>245</v>
      </c>
      <c r="V177" s="30" t="s">
        <v>245</v>
      </c>
      <c r="W177" s="30" t="s">
        <v>245</v>
      </c>
      <c r="X177" s="30" t="s">
        <v>245</v>
      </c>
      <c r="Y177" s="30" t="s">
        <v>245</v>
      </c>
      <c r="Z177" s="30" t="s">
        <v>245</v>
      </c>
      <c r="AA177" s="30" t="s">
        <v>245</v>
      </c>
      <c r="AB177" s="30" t="s">
        <v>245</v>
      </c>
      <c r="AC177" s="30" t="s">
        <v>1647</v>
      </c>
      <c r="AD177" s="30" t="s">
        <v>1648</v>
      </c>
      <c r="AE177" s="30" t="s">
        <v>245</v>
      </c>
      <c r="AF177" s="30" t="s">
        <v>245</v>
      </c>
      <c r="AG177" s="30" t="s">
        <v>245</v>
      </c>
      <c r="AH177" s="30" t="s">
        <v>245</v>
      </c>
      <c r="AI177" s="30" t="s">
        <v>245</v>
      </c>
      <c r="AJ177" s="30" t="s">
        <v>245</v>
      </c>
      <c r="AK177" s="30" t="s">
        <v>245</v>
      </c>
      <c r="AL177" s="30" t="s">
        <v>245</v>
      </c>
      <c r="AM177" s="30" t="s">
        <v>245</v>
      </c>
      <c r="AN177" s="30" t="s">
        <v>245</v>
      </c>
      <c r="AO177" s="30" t="s">
        <v>245</v>
      </c>
      <c r="AP177" s="30" t="s">
        <v>245</v>
      </c>
      <c r="AQ177" s="30" t="s">
        <v>1649</v>
      </c>
      <c r="AR177" s="30" t="s">
        <v>245</v>
      </c>
      <c r="AS177" s="30" t="s">
        <v>245</v>
      </c>
      <c r="AT177" s="30" t="s">
        <v>245</v>
      </c>
      <c r="AU177" s="30" t="s">
        <v>245</v>
      </c>
      <c r="AV177" s="30" t="s">
        <v>245</v>
      </c>
      <c r="AW177" s="30">
        <v>2020</v>
      </c>
      <c r="AX177" s="30">
        <v>77</v>
      </c>
      <c r="AY177" s="30">
        <v>4</v>
      </c>
      <c r="AZ177" s="30" t="s">
        <v>245</v>
      </c>
      <c r="BA177" s="30" t="s">
        <v>245</v>
      </c>
      <c r="BB177" s="30" t="s">
        <v>245</v>
      </c>
      <c r="BC177" s="30" t="s">
        <v>245</v>
      </c>
      <c r="BD177" s="30" t="s">
        <v>245</v>
      </c>
      <c r="BE177" s="30" t="s">
        <v>245</v>
      </c>
      <c r="BF177" s="30" t="s">
        <v>1650</v>
      </c>
      <c r="BG177" s="30" t="s">
        <v>1651</v>
      </c>
      <c r="BH177" s="30" t="str">
        <f>HYPERLINK("http://dx.doi.org/10.1590/1678-992X-2018-0370","http://dx.doi.org/10.1590/1678-992X-2018-0370")</f>
        <v>http://dx.doi.org/10.1590/1678-992X-2018-0370</v>
      </c>
      <c r="BI177" s="30" t="s">
        <v>245</v>
      </c>
      <c r="BJ177" s="30" t="s">
        <v>245</v>
      </c>
      <c r="BK177" s="30" t="s">
        <v>245</v>
      </c>
      <c r="BL177" s="30" t="s">
        <v>245</v>
      </c>
      <c r="BM177" s="30" t="s">
        <v>245</v>
      </c>
      <c r="BN177" s="30" t="s">
        <v>245</v>
      </c>
      <c r="BO177" s="30" t="s">
        <v>245</v>
      </c>
      <c r="BP177" s="30" t="s">
        <v>245</v>
      </c>
      <c r="BQ177" s="30" t="s">
        <v>245</v>
      </c>
      <c r="BR177" s="30" t="s">
        <v>245</v>
      </c>
      <c r="BS177" s="30" t="s">
        <v>245</v>
      </c>
      <c r="BT177" s="30" t="s">
        <v>245</v>
      </c>
      <c r="BU177" s="30" t="s">
        <v>1652</v>
      </c>
      <c r="BV177" s="30" t="str">
        <f>HYPERLINK("https%3A%2F%2Fwww.webofscience.com%2Fwos%2Fwoscc%2Ffull-record%2FWOS:000494943000001","View Full Record in Web of Science")</f>
        <v>View Full Record in Web of Science</v>
      </c>
    </row>
    <row r="178" spans="1:74" x14ac:dyDescent="0.2">
      <c r="A178" s="30" t="s">
        <v>243</v>
      </c>
      <c r="B178" s="30" t="s">
        <v>1653</v>
      </c>
      <c r="C178" s="30" t="s">
        <v>245</v>
      </c>
      <c r="D178" s="30" t="s">
        <v>245</v>
      </c>
      <c r="E178" s="30" t="s">
        <v>245</v>
      </c>
      <c r="F178" s="30" t="s">
        <v>1654</v>
      </c>
      <c r="G178" s="30" t="s">
        <v>245</v>
      </c>
      <c r="H178" s="30" t="s">
        <v>245</v>
      </c>
      <c r="I178" s="30" t="s">
        <v>2822</v>
      </c>
      <c r="K178" s="30" t="s">
        <v>1655</v>
      </c>
      <c r="L178" s="30" t="s">
        <v>1656</v>
      </c>
      <c r="M178" s="30" t="s">
        <v>245</v>
      </c>
      <c r="N178" s="30" t="s">
        <v>245</v>
      </c>
      <c r="O178" s="30" t="s">
        <v>245</v>
      </c>
      <c r="P178" s="30" t="s">
        <v>245</v>
      </c>
      <c r="Q178" s="30" t="s">
        <v>245</v>
      </c>
      <c r="R178" s="30" t="s">
        <v>245</v>
      </c>
      <c r="S178" s="30" t="s">
        <v>245</v>
      </c>
      <c r="T178" s="30" t="s">
        <v>245</v>
      </c>
      <c r="U178" s="30" t="s">
        <v>245</v>
      </c>
      <c r="V178" s="30" t="s">
        <v>245</v>
      </c>
      <c r="W178" s="30" t="s">
        <v>245</v>
      </c>
      <c r="X178" s="30" t="s">
        <v>245</v>
      </c>
      <c r="Y178" s="30" t="s">
        <v>245</v>
      </c>
      <c r="Z178" s="30" t="s">
        <v>245</v>
      </c>
      <c r="AA178" s="30" t="s">
        <v>245</v>
      </c>
      <c r="AB178" s="30" t="s">
        <v>245</v>
      </c>
      <c r="AC178" s="30" t="s">
        <v>1657</v>
      </c>
      <c r="AD178" s="30" t="s">
        <v>245</v>
      </c>
      <c r="AE178" s="30" t="s">
        <v>245</v>
      </c>
      <c r="AF178" s="30" t="s">
        <v>245</v>
      </c>
      <c r="AG178" s="30" t="s">
        <v>245</v>
      </c>
      <c r="AH178" s="30" t="s">
        <v>245</v>
      </c>
      <c r="AI178" s="30" t="s">
        <v>245</v>
      </c>
      <c r="AJ178" s="30" t="s">
        <v>245</v>
      </c>
      <c r="AK178" s="30" t="s">
        <v>245</v>
      </c>
      <c r="AL178" s="30" t="s">
        <v>245</v>
      </c>
      <c r="AM178" s="30" t="s">
        <v>245</v>
      </c>
      <c r="AN178" s="30" t="s">
        <v>245</v>
      </c>
      <c r="AO178" s="30" t="s">
        <v>245</v>
      </c>
      <c r="AP178" s="30" t="s">
        <v>245</v>
      </c>
      <c r="AQ178" s="30" t="s">
        <v>1658</v>
      </c>
      <c r="AR178" s="30" t="s">
        <v>1659</v>
      </c>
      <c r="AS178" s="30" t="s">
        <v>245</v>
      </c>
      <c r="AT178" s="30" t="s">
        <v>245</v>
      </c>
      <c r="AU178" s="30" t="s">
        <v>245</v>
      </c>
      <c r="AV178" s="30" t="s">
        <v>487</v>
      </c>
      <c r="AW178" s="30">
        <v>2017</v>
      </c>
      <c r="AX178" s="30">
        <v>19</v>
      </c>
      <c r="AY178" s="30">
        <v>3</v>
      </c>
      <c r="AZ178" s="30" t="s">
        <v>245</v>
      </c>
      <c r="BA178" s="30" t="s">
        <v>245</v>
      </c>
      <c r="BB178" s="30" t="s">
        <v>245</v>
      </c>
      <c r="BC178" s="30" t="s">
        <v>245</v>
      </c>
      <c r="BD178" s="30">
        <v>1189</v>
      </c>
      <c r="BE178" s="30">
        <v>1208</v>
      </c>
      <c r="BF178" s="30" t="s">
        <v>245</v>
      </c>
      <c r="BG178" s="30" t="s">
        <v>1660</v>
      </c>
      <c r="BH178" s="30" t="str">
        <f>HYPERLINK("http://dx.doi.org/10.1111/1462-2920.13643","http://dx.doi.org/10.1111/1462-2920.13643")</f>
        <v>http://dx.doi.org/10.1111/1462-2920.13643</v>
      </c>
      <c r="BI178" s="30" t="s">
        <v>245</v>
      </c>
      <c r="BJ178" s="30" t="s">
        <v>245</v>
      </c>
      <c r="BK178" s="30" t="s">
        <v>245</v>
      </c>
      <c r="BL178" s="30" t="s">
        <v>245</v>
      </c>
      <c r="BM178" s="30" t="s">
        <v>245</v>
      </c>
      <c r="BN178" s="30" t="s">
        <v>245</v>
      </c>
      <c r="BO178" s="30" t="s">
        <v>245</v>
      </c>
      <c r="BP178" s="30">
        <v>27943515</v>
      </c>
      <c r="BQ178" s="30" t="s">
        <v>245</v>
      </c>
      <c r="BR178" s="30" t="s">
        <v>245</v>
      </c>
      <c r="BS178" s="30" t="s">
        <v>245</v>
      </c>
      <c r="BT178" s="30" t="s">
        <v>245</v>
      </c>
      <c r="BU178" s="30" t="s">
        <v>1661</v>
      </c>
      <c r="BV178" s="30" t="str">
        <f>HYPERLINK("https%3A%2F%2Fwww.webofscience.com%2Fwos%2Fwoscc%2Ffull-record%2FWOS:000397525100029","View Full Record in Web of Science")</f>
        <v>View Full Record in Web of Science</v>
      </c>
    </row>
    <row r="179" spans="1:74" x14ac:dyDescent="0.2">
      <c r="A179" s="30" t="s">
        <v>243</v>
      </c>
      <c r="B179" s="30" t="s">
        <v>1662</v>
      </c>
      <c r="C179" s="30" t="s">
        <v>245</v>
      </c>
      <c r="D179" s="30" t="s">
        <v>245</v>
      </c>
      <c r="E179" s="30" t="s">
        <v>245</v>
      </c>
      <c r="F179" s="30" t="s">
        <v>1663</v>
      </c>
      <c r="G179" s="30" t="s">
        <v>245</v>
      </c>
      <c r="H179" s="30" t="s">
        <v>245</v>
      </c>
      <c r="I179" s="30" t="s">
        <v>2826</v>
      </c>
      <c r="K179" s="30" t="s">
        <v>1664</v>
      </c>
      <c r="L179" s="30" t="s">
        <v>432</v>
      </c>
      <c r="M179" s="30" t="s">
        <v>245</v>
      </c>
      <c r="N179" s="30" t="s">
        <v>245</v>
      </c>
      <c r="O179" s="30" t="s">
        <v>245</v>
      </c>
      <c r="P179" s="30" t="s">
        <v>245</v>
      </c>
      <c r="Q179" s="30" t="s">
        <v>245</v>
      </c>
      <c r="R179" s="30" t="s">
        <v>245</v>
      </c>
      <c r="S179" s="30" t="s">
        <v>245</v>
      </c>
      <c r="T179" s="30" t="s">
        <v>245</v>
      </c>
      <c r="U179" s="30" t="s">
        <v>245</v>
      </c>
      <c r="V179" s="30" t="s">
        <v>245</v>
      </c>
      <c r="W179" s="30" t="s">
        <v>245</v>
      </c>
      <c r="X179" s="30" t="s">
        <v>245</v>
      </c>
      <c r="Y179" s="30" t="s">
        <v>245</v>
      </c>
      <c r="Z179" s="30" t="s">
        <v>245</v>
      </c>
      <c r="AA179" s="30" t="s">
        <v>245</v>
      </c>
      <c r="AB179" s="30" t="s">
        <v>245</v>
      </c>
      <c r="AC179" s="30" t="s">
        <v>1665</v>
      </c>
      <c r="AD179" s="30" t="s">
        <v>1666</v>
      </c>
      <c r="AE179" s="30" t="s">
        <v>245</v>
      </c>
      <c r="AF179" s="30" t="s">
        <v>245</v>
      </c>
      <c r="AG179" s="30" t="s">
        <v>245</v>
      </c>
      <c r="AH179" s="30" t="s">
        <v>245</v>
      </c>
      <c r="AI179" s="30" t="s">
        <v>245</v>
      </c>
      <c r="AJ179" s="30" t="s">
        <v>245</v>
      </c>
      <c r="AK179" s="30" t="s">
        <v>245</v>
      </c>
      <c r="AL179" s="30" t="s">
        <v>245</v>
      </c>
      <c r="AM179" s="30" t="s">
        <v>245</v>
      </c>
      <c r="AN179" s="30" t="s">
        <v>245</v>
      </c>
      <c r="AO179" s="30" t="s">
        <v>245</v>
      </c>
      <c r="AP179" s="30" t="s">
        <v>245</v>
      </c>
      <c r="AQ179" s="30" t="s">
        <v>433</v>
      </c>
      <c r="AR179" s="30" t="s">
        <v>434</v>
      </c>
      <c r="AS179" s="30" t="s">
        <v>245</v>
      </c>
      <c r="AT179" s="30" t="s">
        <v>245</v>
      </c>
      <c r="AU179" s="30" t="s">
        <v>245</v>
      </c>
      <c r="AV179" s="30" t="s">
        <v>265</v>
      </c>
      <c r="AW179" s="30">
        <v>2023</v>
      </c>
      <c r="AX179" s="30">
        <v>487</v>
      </c>
      <c r="AY179" s="30" t="s">
        <v>436</v>
      </c>
      <c r="AZ179" s="30" t="s">
        <v>245</v>
      </c>
      <c r="BA179" s="30" t="s">
        <v>245</v>
      </c>
      <c r="BB179" s="30" t="s">
        <v>245</v>
      </c>
      <c r="BC179" s="30" t="s">
        <v>245</v>
      </c>
      <c r="BD179" s="30">
        <v>197</v>
      </c>
      <c r="BE179" s="30">
        <v>212</v>
      </c>
      <c r="BF179" s="30" t="s">
        <v>245</v>
      </c>
      <c r="BG179" s="30" t="s">
        <v>1667</v>
      </c>
      <c r="BH179" s="30" t="str">
        <f>HYPERLINK("http://dx.doi.org/10.1007/s11104-023-05913-y","http://dx.doi.org/10.1007/s11104-023-05913-y")</f>
        <v>http://dx.doi.org/10.1007/s11104-023-05913-y</v>
      </c>
      <c r="BI179" s="30" t="s">
        <v>245</v>
      </c>
      <c r="BJ179" s="30" t="s">
        <v>1668</v>
      </c>
      <c r="BK179" s="30" t="s">
        <v>245</v>
      </c>
      <c r="BL179" s="30" t="s">
        <v>245</v>
      </c>
      <c r="BM179" s="30" t="s">
        <v>245</v>
      </c>
      <c r="BN179" s="30" t="s">
        <v>245</v>
      </c>
      <c r="BO179" s="30" t="s">
        <v>245</v>
      </c>
      <c r="BP179" s="30" t="s">
        <v>245</v>
      </c>
      <c r="BQ179" s="30" t="s">
        <v>245</v>
      </c>
      <c r="BR179" s="30" t="s">
        <v>245</v>
      </c>
      <c r="BS179" s="30" t="s">
        <v>245</v>
      </c>
      <c r="BT179" s="30" t="s">
        <v>245</v>
      </c>
      <c r="BU179" s="30" t="s">
        <v>1669</v>
      </c>
      <c r="BV179" s="30" t="str">
        <f>HYPERLINK("https%3A%2F%2Fwww.webofscience.com%2Fwos%2Fwoscc%2Ffull-record%2FWOS:000929264400001","View Full Record in Web of Science")</f>
        <v>View Full Record in Web of Science</v>
      </c>
    </row>
    <row r="180" spans="1:74" x14ac:dyDescent="0.2">
      <c r="A180" s="30" t="s">
        <v>243</v>
      </c>
      <c r="B180" s="30" t="s">
        <v>1670</v>
      </c>
      <c r="C180" s="30" t="s">
        <v>245</v>
      </c>
      <c r="D180" s="30" t="s">
        <v>245</v>
      </c>
      <c r="E180" s="30" t="s">
        <v>245</v>
      </c>
      <c r="F180" s="30" t="s">
        <v>1671</v>
      </c>
      <c r="G180" s="30" t="s">
        <v>245</v>
      </c>
      <c r="H180" s="30" t="s">
        <v>245</v>
      </c>
      <c r="I180" s="30" t="s">
        <v>2819</v>
      </c>
      <c r="K180" s="30" t="s">
        <v>1672</v>
      </c>
      <c r="L180" s="30" t="s">
        <v>986</v>
      </c>
      <c r="M180" s="30" t="s">
        <v>245</v>
      </c>
      <c r="N180" s="30" t="s">
        <v>245</v>
      </c>
      <c r="O180" s="30" t="s">
        <v>245</v>
      </c>
      <c r="P180" s="30" t="s">
        <v>245</v>
      </c>
      <c r="Q180" s="30" t="s">
        <v>245</v>
      </c>
      <c r="R180" s="30" t="s">
        <v>245</v>
      </c>
      <c r="S180" s="30" t="s">
        <v>245</v>
      </c>
      <c r="T180" s="30" t="s">
        <v>245</v>
      </c>
      <c r="U180" s="30" t="s">
        <v>245</v>
      </c>
      <c r="V180" s="30" t="s">
        <v>245</v>
      </c>
      <c r="W180" s="30" t="s">
        <v>245</v>
      </c>
      <c r="X180" s="30" t="s">
        <v>245</v>
      </c>
      <c r="Y180" s="30" t="s">
        <v>245</v>
      </c>
      <c r="Z180" s="30" t="s">
        <v>245</v>
      </c>
      <c r="AA180" s="30" t="s">
        <v>245</v>
      </c>
      <c r="AB180" s="30" t="s">
        <v>245</v>
      </c>
      <c r="AC180" s="30" t="s">
        <v>1673</v>
      </c>
      <c r="AD180" s="30" t="s">
        <v>1674</v>
      </c>
      <c r="AE180" s="30" t="s">
        <v>245</v>
      </c>
      <c r="AF180" s="30" t="s">
        <v>245</v>
      </c>
      <c r="AG180" s="30" t="s">
        <v>245</v>
      </c>
      <c r="AH180" s="30" t="s">
        <v>245</v>
      </c>
      <c r="AI180" s="30" t="s">
        <v>245</v>
      </c>
      <c r="AJ180" s="30" t="s">
        <v>245</v>
      </c>
      <c r="AK180" s="30" t="s">
        <v>245</v>
      </c>
      <c r="AL180" s="30" t="s">
        <v>245</v>
      </c>
      <c r="AM180" s="30" t="s">
        <v>245</v>
      </c>
      <c r="AN180" s="30" t="s">
        <v>245</v>
      </c>
      <c r="AO180" s="30" t="s">
        <v>245</v>
      </c>
      <c r="AP180" s="30" t="s">
        <v>245</v>
      </c>
      <c r="AQ180" s="30" t="s">
        <v>987</v>
      </c>
      <c r="AR180" s="30" t="s">
        <v>988</v>
      </c>
      <c r="AS180" s="30" t="s">
        <v>245</v>
      </c>
      <c r="AT180" s="30" t="s">
        <v>245</v>
      </c>
      <c r="AU180" s="30" t="s">
        <v>245</v>
      </c>
      <c r="AV180" s="30" t="s">
        <v>454</v>
      </c>
      <c r="AW180" s="30">
        <v>2011</v>
      </c>
      <c r="AX180" s="30">
        <v>77</v>
      </c>
      <c r="AY180" s="30">
        <v>17</v>
      </c>
      <c r="AZ180" s="30" t="s">
        <v>245</v>
      </c>
      <c r="BA180" s="30" t="s">
        <v>245</v>
      </c>
      <c r="BB180" s="30" t="s">
        <v>245</v>
      </c>
      <c r="BC180" s="30" t="s">
        <v>245</v>
      </c>
      <c r="BD180" s="30">
        <v>5835</v>
      </c>
      <c r="BE180" s="30">
        <v>5841</v>
      </c>
      <c r="BF180" s="30" t="s">
        <v>245</v>
      </c>
      <c r="BG180" s="30" t="s">
        <v>1675</v>
      </c>
      <c r="BH180" s="30" t="str">
        <f>HYPERLINK("http://dx.doi.org/10.1128/AEM.05341-11","http://dx.doi.org/10.1128/AEM.05341-11")</f>
        <v>http://dx.doi.org/10.1128/AEM.05341-11</v>
      </c>
      <c r="BI180" s="30" t="s">
        <v>245</v>
      </c>
      <c r="BJ180" s="30" t="s">
        <v>245</v>
      </c>
      <c r="BK180" s="30" t="s">
        <v>245</v>
      </c>
      <c r="BL180" s="30" t="s">
        <v>245</v>
      </c>
      <c r="BM180" s="30" t="s">
        <v>245</v>
      </c>
      <c r="BN180" s="30" t="s">
        <v>245</v>
      </c>
      <c r="BO180" s="30" t="s">
        <v>245</v>
      </c>
      <c r="BP180" s="30">
        <v>21724884</v>
      </c>
      <c r="BQ180" s="30" t="s">
        <v>245</v>
      </c>
      <c r="BR180" s="30" t="s">
        <v>245</v>
      </c>
      <c r="BS180" s="30" t="s">
        <v>245</v>
      </c>
      <c r="BT180" s="30" t="s">
        <v>245</v>
      </c>
      <c r="BU180" s="30" t="s">
        <v>1676</v>
      </c>
      <c r="BV180" s="30" t="str">
        <f>HYPERLINK("https%3A%2F%2Fwww.webofscience.com%2Fwos%2Fwoscc%2Ffull-record%2FWOS:000294205700001","View Full Record in Web of Science")</f>
        <v>View Full Record in Web of Science</v>
      </c>
    </row>
    <row r="181" spans="1:74" x14ac:dyDescent="0.2">
      <c r="A181" s="30" t="s">
        <v>243</v>
      </c>
      <c r="B181" s="30" t="s">
        <v>1677</v>
      </c>
      <c r="C181" s="30" t="s">
        <v>245</v>
      </c>
      <c r="D181" s="30" t="s">
        <v>245</v>
      </c>
      <c r="E181" s="30" t="s">
        <v>245</v>
      </c>
      <c r="F181" s="30" t="s">
        <v>1678</v>
      </c>
      <c r="G181" s="30" t="s">
        <v>245</v>
      </c>
      <c r="H181" s="30" t="s">
        <v>245</v>
      </c>
      <c r="I181" s="30" t="s">
        <v>2822</v>
      </c>
      <c r="K181" s="30" t="s">
        <v>1679</v>
      </c>
      <c r="L181" s="30" t="s">
        <v>336</v>
      </c>
      <c r="M181" s="30" t="s">
        <v>245</v>
      </c>
      <c r="N181" s="30" t="s">
        <v>245</v>
      </c>
      <c r="O181" s="30" t="s">
        <v>245</v>
      </c>
      <c r="P181" s="30" t="s">
        <v>245</v>
      </c>
      <c r="Q181" s="30" t="s">
        <v>245</v>
      </c>
      <c r="R181" s="30" t="s">
        <v>245</v>
      </c>
      <c r="S181" s="30" t="s">
        <v>245</v>
      </c>
      <c r="T181" s="30" t="s">
        <v>245</v>
      </c>
      <c r="U181" s="30" t="s">
        <v>245</v>
      </c>
      <c r="V181" s="30" t="s">
        <v>245</v>
      </c>
      <c r="W181" s="30" t="s">
        <v>245</v>
      </c>
      <c r="X181" s="30" t="s">
        <v>245</v>
      </c>
      <c r="Y181" s="30" t="s">
        <v>245</v>
      </c>
      <c r="Z181" s="30" t="s">
        <v>245</v>
      </c>
      <c r="AA181" s="30" t="s">
        <v>245</v>
      </c>
      <c r="AB181" s="30" t="s">
        <v>245</v>
      </c>
      <c r="AC181" s="30" t="s">
        <v>245</v>
      </c>
      <c r="AD181" s="30" t="s">
        <v>1680</v>
      </c>
      <c r="AE181" s="30" t="s">
        <v>245</v>
      </c>
      <c r="AF181" s="30" t="s">
        <v>245</v>
      </c>
      <c r="AG181" s="30" t="s">
        <v>245</v>
      </c>
      <c r="AH181" s="30" t="s">
        <v>245</v>
      </c>
      <c r="AI181" s="30" t="s">
        <v>245</v>
      </c>
      <c r="AJ181" s="30" t="s">
        <v>245</v>
      </c>
      <c r="AK181" s="30" t="s">
        <v>245</v>
      </c>
      <c r="AL181" s="30" t="s">
        <v>245</v>
      </c>
      <c r="AM181" s="30" t="s">
        <v>245</v>
      </c>
      <c r="AN181" s="30" t="s">
        <v>245</v>
      </c>
      <c r="AO181" s="30" t="s">
        <v>245</v>
      </c>
      <c r="AP181" s="30" t="s">
        <v>245</v>
      </c>
      <c r="AQ181" s="30" t="s">
        <v>343</v>
      </c>
      <c r="AR181" s="30" t="s">
        <v>344</v>
      </c>
      <c r="AS181" s="30" t="s">
        <v>245</v>
      </c>
      <c r="AT181" s="30" t="s">
        <v>245</v>
      </c>
      <c r="AU181" s="30" t="s">
        <v>245</v>
      </c>
      <c r="AV181" s="30" t="s">
        <v>646</v>
      </c>
      <c r="AW181" s="30">
        <v>2022</v>
      </c>
      <c r="AX181" s="30">
        <v>123</v>
      </c>
      <c r="AY181" s="30">
        <v>3</v>
      </c>
      <c r="AZ181" s="30" t="s">
        <v>245</v>
      </c>
      <c r="BA181" s="30" t="s">
        <v>245</v>
      </c>
      <c r="BB181" s="30" t="s">
        <v>245</v>
      </c>
      <c r="BC181" s="30" t="s">
        <v>245</v>
      </c>
      <c r="BD181" s="30">
        <v>119</v>
      </c>
      <c r="BE181" s="30">
        <v>135</v>
      </c>
      <c r="BF181" s="30" t="s">
        <v>245</v>
      </c>
      <c r="BG181" s="30" t="s">
        <v>1681</v>
      </c>
      <c r="BH181" s="30" t="str">
        <f>HYPERLINK("http://dx.doi.org/10.1007/s10705-022-10211-7","http://dx.doi.org/10.1007/s10705-022-10211-7")</f>
        <v>http://dx.doi.org/10.1007/s10705-022-10211-7</v>
      </c>
      <c r="BI181" s="30" t="s">
        <v>245</v>
      </c>
      <c r="BJ181" s="30" t="s">
        <v>1682</v>
      </c>
      <c r="BK181" s="30" t="s">
        <v>245</v>
      </c>
      <c r="BL181" s="30" t="s">
        <v>245</v>
      </c>
      <c r="BM181" s="30" t="s">
        <v>245</v>
      </c>
      <c r="BN181" s="30" t="s">
        <v>245</v>
      </c>
      <c r="BO181" s="30" t="s">
        <v>245</v>
      </c>
      <c r="BP181" s="30" t="s">
        <v>245</v>
      </c>
      <c r="BQ181" s="30" t="s">
        <v>245</v>
      </c>
      <c r="BR181" s="30" t="s">
        <v>245</v>
      </c>
      <c r="BS181" s="30" t="s">
        <v>245</v>
      </c>
      <c r="BT181" s="30" t="s">
        <v>245</v>
      </c>
      <c r="BU181" s="30" t="s">
        <v>1683</v>
      </c>
      <c r="BV181" s="30" t="str">
        <f>HYPERLINK("https%3A%2F%2Fwww.webofscience.com%2Fwos%2Fwoscc%2Ffull-record%2FWOS:000818599100001","View Full Record in Web of Science")</f>
        <v>View Full Record in Web of Science</v>
      </c>
    </row>
    <row r="182" spans="1:74" x14ac:dyDescent="0.2">
      <c r="A182" s="30" t="s">
        <v>243</v>
      </c>
      <c r="B182" s="30" t="s">
        <v>1684</v>
      </c>
      <c r="C182" s="30" t="s">
        <v>245</v>
      </c>
      <c r="D182" s="30" t="s">
        <v>245</v>
      </c>
      <c r="E182" s="30" t="s">
        <v>245</v>
      </c>
      <c r="F182" s="30" t="s">
        <v>1685</v>
      </c>
      <c r="G182" s="30" t="s">
        <v>245</v>
      </c>
      <c r="H182" s="30" t="s">
        <v>245</v>
      </c>
      <c r="I182" s="30" t="s">
        <v>2826</v>
      </c>
      <c r="K182" s="30" t="s">
        <v>1686</v>
      </c>
      <c r="L182" s="30" t="s">
        <v>501</v>
      </c>
      <c r="M182" s="30" t="s">
        <v>245</v>
      </c>
      <c r="N182" s="30" t="s">
        <v>245</v>
      </c>
      <c r="O182" s="30" t="s">
        <v>245</v>
      </c>
      <c r="P182" s="30" t="s">
        <v>245</v>
      </c>
      <c r="Q182" s="30" t="s">
        <v>245</v>
      </c>
      <c r="R182" s="30" t="s">
        <v>245</v>
      </c>
      <c r="S182" s="30" t="s">
        <v>245</v>
      </c>
      <c r="T182" s="30" t="s">
        <v>245</v>
      </c>
      <c r="U182" s="30" t="s">
        <v>245</v>
      </c>
      <c r="V182" s="30" t="s">
        <v>245</v>
      </c>
      <c r="W182" s="30" t="s">
        <v>245</v>
      </c>
      <c r="X182" s="30" t="s">
        <v>245</v>
      </c>
      <c r="Y182" s="30" t="s">
        <v>245</v>
      </c>
      <c r="Z182" s="30" t="s">
        <v>245</v>
      </c>
      <c r="AA182" s="30" t="s">
        <v>245</v>
      </c>
      <c r="AB182" s="30" t="s">
        <v>245</v>
      </c>
      <c r="AC182" s="30" t="s">
        <v>1687</v>
      </c>
      <c r="AD182" s="30" t="s">
        <v>1688</v>
      </c>
      <c r="AE182" s="30" t="s">
        <v>245</v>
      </c>
      <c r="AF182" s="30" t="s">
        <v>245</v>
      </c>
      <c r="AG182" s="30" t="s">
        <v>245</v>
      </c>
      <c r="AH182" s="30" t="s">
        <v>245</v>
      </c>
      <c r="AI182" s="30" t="s">
        <v>245</v>
      </c>
      <c r="AJ182" s="30" t="s">
        <v>245</v>
      </c>
      <c r="AK182" s="30" t="s">
        <v>245</v>
      </c>
      <c r="AL182" s="30" t="s">
        <v>245</v>
      </c>
      <c r="AM182" s="30" t="s">
        <v>245</v>
      </c>
      <c r="AN182" s="30" t="s">
        <v>245</v>
      </c>
      <c r="AO182" s="30" t="s">
        <v>245</v>
      </c>
      <c r="AP182" s="30" t="s">
        <v>245</v>
      </c>
      <c r="AQ182" s="30" t="s">
        <v>504</v>
      </c>
      <c r="AR182" s="30" t="s">
        <v>505</v>
      </c>
      <c r="AS182" s="30" t="s">
        <v>245</v>
      </c>
      <c r="AT182" s="30" t="s">
        <v>245</v>
      </c>
      <c r="AU182" s="30" t="s">
        <v>245</v>
      </c>
      <c r="AV182" s="30" t="s">
        <v>297</v>
      </c>
      <c r="AW182" s="30">
        <v>2019</v>
      </c>
      <c r="AX182" s="30">
        <v>142</v>
      </c>
      <c r="AY182" s="30" t="s">
        <v>245</v>
      </c>
      <c r="AZ182" s="30" t="s">
        <v>245</v>
      </c>
      <c r="BA182" s="30" t="s">
        <v>245</v>
      </c>
      <c r="BB182" s="30" t="s">
        <v>245</v>
      </c>
      <c r="BC182" s="30" t="s">
        <v>245</v>
      </c>
      <c r="BD182" s="30">
        <v>189</v>
      </c>
      <c r="BE182" s="30">
        <v>198</v>
      </c>
      <c r="BF182" s="30" t="s">
        <v>245</v>
      </c>
      <c r="BG182" s="30" t="s">
        <v>1689</v>
      </c>
      <c r="BH182" s="30" t="str">
        <f>HYPERLINK("http://dx.doi.org/10.1016/j.apsoil.2019.04.012","http://dx.doi.org/10.1016/j.apsoil.2019.04.012")</f>
        <v>http://dx.doi.org/10.1016/j.apsoil.2019.04.012</v>
      </c>
      <c r="BI182" s="30" t="s">
        <v>245</v>
      </c>
      <c r="BJ182" s="30" t="s">
        <v>245</v>
      </c>
      <c r="BK182" s="30" t="s">
        <v>245</v>
      </c>
      <c r="BL182" s="30" t="s">
        <v>245</v>
      </c>
      <c r="BM182" s="30" t="s">
        <v>245</v>
      </c>
      <c r="BN182" s="30" t="s">
        <v>245</v>
      </c>
      <c r="BO182" s="30" t="s">
        <v>245</v>
      </c>
      <c r="BP182" s="30" t="s">
        <v>245</v>
      </c>
      <c r="BQ182" s="30" t="s">
        <v>245</v>
      </c>
      <c r="BR182" s="30" t="s">
        <v>245</v>
      </c>
      <c r="BS182" s="30" t="s">
        <v>245</v>
      </c>
      <c r="BT182" s="30" t="s">
        <v>245</v>
      </c>
      <c r="BU182" s="30" t="s">
        <v>1690</v>
      </c>
      <c r="BV182" s="30" t="str">
        <f>HYPERLINK("https%3A%2F%2Fwww.webofscience.com%2Fwos%2Fwoscc%2Ffull-record%2FWOS:000470824300021","View Full Record in Web of Science")</f>
        <v>View Full Record in Web of Science</v>
      </c>
    </row>
    <row r="183" spans="1:74" x14ac:dyDescent="0.2">
      <c r="A183" s="30" t="s">
        <v>243</v>
      </c>
      <c r="B183" s="30" t="s">
        <v>1691</v>
      </c>
      <c r="C183" s="30" t="s">
        <v>245</v>
      </c>
      <c r="D183" s="30" t="s">
        <v>245</v>
      </c>
      <c r="E183" s="30" t="s">
        <v>245</v>
      </c>
      <c r="F183" s="30" t="s">
        <v>1692</v>
      </c>
      <c r="G183" s="30" t="s">
        <v>245</v>
      </c>
      <c r="H183" s="30" t="s">
        <v>245</v>
      </c>
      <c r="J183" s="30" t="s">
        <v>2831</v>
      </c>
      <c r="K183" s="30" t="s">
        <v>1693</v>
      </c>
      <c r="L183" s="30" t="s">
        <v>1549</v>
      </c>
      <c r="M183" s="30" t="s">
        <v>245</v>
      </c>
      <c r="N183" s="30" t="s">
        <v>245</v>
      </c>
      <c r="O183" s="30" t="s">
        <v>245</v>
      </c>
      <c r="P183" s="30" t="s">
        <v>245</v>
      </c>
      <c r="Q183" s="30" t="s">
        <v>245</v>
      </c>
      <c r="R183" s="30" t="s">
        <v>245</v>
      </c>
      <c r="S183" s="30" t="s">
        <v>245</v>
      </c>
      <c r="T183" s="30" t="s">
        <v>245</v>
      </c>
      <c r="U183" s="30" t="s">
        <v>245</v>
      </c>
      <c r="V183" s="30" t="s">
        <v>245</v>
      </c>
      <c r="W183" s="30" t="s">
        <v>245</v>
      </c>
      <c r="X183" s="30" t="s">
        <v>245</v>
      </c>
      <c r="Y183" s="30" t="s">
        <v>245</v>
      </c>
      <c r="Z183" s="30" t="s">
        <v>245</v>
      </c>
      <c r="AA183" s="30" t="s">
        <v>245</v>
      </c>
      <c r="AB183" s="30" t="s">
        <v>245</v>
      </c>
      <c r="AC183" s="30" t="s">
        <v>1694</v>
      </c>
      <c r="AD183" s="30" t="s">
        <v>245</v>
      </c>
      <c r="AE183" s="30" t="s">
        <v>245</v>
      </c>
      <c r="AF183" s="30" t="s">
        <v>245</v>
      </c>
      <c r="AG183" s="30" t="s">
        <v>245</v>
      </c>
      <c r="AH183" s="30" t="s">
        <v>245</v>
      </c>
      <c r="AI183" s="30" t="s">
        <v>245</v>
      </c>
      <c r="AJ183" s="30" t="s">
        <v>245</v>
      </c>
      <c r="AK183" s="30" t="s">
        <v>245</v>
      </c>
      <c r="AL183" s="30" t="s">
        <v>245</v>
      </c>
      <c r="AM183" s="30" t="s">
        <v>245</v>
      </c>
      <c r="AN183" s="30" t="s">
        <v>245</v>
      </c>
      <c r="AO183" s="30" t="s">
        <v>245</v>
      </c>
      <c r="AP183" s="30" t="s">
        <v>245</v>
      </c>
      <c r="AQ183" s="30" t="s">
        <v>1551</v>
      </c>
      <c r="AR183" s="30" t="s">
        <v>1552</v>
      </c>
      <c r="AS183" s="30" t="s">
        <v>245</v>
      </c>
      <c r="AT183" s="30" t="s">
        <v>245</v>
      </c>
      <c r="AU183" s="30" t="s">
        <v>245</v>
      </c>
      <c r="AV183" s="30" t="s">
        <v>297</v>
      </c>
      <c r="AW183" s="30">
        <v>2020</v>
      </c>
      <c r="AX183" s="30">
        <v>265</v>
      </c>
      <c r="AY183" s="30" t="s">
        <v>245</v>
      </c>
      <c r="AZ183" s="30" t="s">
        <v>1695</v>
      </c>
      <c r="BA183" s="30" t="s">
        <v>245</v>
      </c>
      <c r="BB183" s="30" t="s">
        <v>245</v>
      </c>
      <c r="BC183" s="30" t="s">
        <v>245</v>
      </c>
      <c r="BD183" s="30" t="s">
        <v>245</v>
      </c>
      <c r="BE183" s="30" t="s">
        <v>245</v>
      </c>
      <c r="BF183" s="30">
        <v>115065</v>
      </c>
      <c r="BG183" s="30" t="s">
        <v>1696</v>
      </c>
      <c r="BH183" s="30" t="str">
        <f>HYPERLINK("http://dx.doi.org/10.1016/j.envpol.2020.115065","http://dx.doi.org/10.1016/j.envpol.2020.115065")</f>
        <v>http://dx.doi.org/10.1016/j.envpol.2020.115065</v>
      </c>
      <c r="BI183" s="30" t="s">
        <v>245</v>
      </c>
      <c r="BJ183" s="30" t="s">
        <v>245</v>
      </c>
      <c r="BK183" s="30" t="s">
        <v>245</v>
      </c>
      <c r="BL183" s="30" t="s">
        <v>245</v>
      </c>
      <c r="BM183" s="30" t="s">
        <v>245</v>
      </c>
      <c r="BN183" s="30" t="s">
        <v>245</v>
      </c>
      <c r="BO183" s="30" t="s">
        <v>245</v>
      </c>
      <c r="BP183" s="30">
        <v>32806458</v>
      </c>
      <c r="BQ183" s="30" t="s">
        <v>245</v>
      </c>
      <c r="BR183" s="30" t="s">
        <v>245</v>
      </c>
      <c r="BS183" s="30" t="s">
        <v>245</v>
      </c>
      <c r="BT183" s="30" t="s">
        <v>245</v>
      </c>
      <c r="BU183" s="30" t="s">
        <v>1697</v>
      </c>
      <c r="BV183" s="30" t="str">
        <f>HYPERLINK("https%3A%2F%2Fwww.webofscience.com%2Fwos%2Fwoscc%2Ffull-record%2FWOS:000564558300017","View Full Record in Web of Science")</f>
        <v>View Full Record in Web of Science</v>
      </c>
    </row>
    <row r="184" spans="1:74" x14ac:dyDescent="0.2">
      <c r="A184" s="30" t="s">
        <v>243</v>
      </c>
      <c r="B184" s="30" t="s">
        <v>1698</v>
      </c>
      <c r="C184" s="30" t="s">
        <v>245</v>
      </c>
      <c r="D184" s="30" t="s">
        <v>245</v>
      </c>
      <c r="E184" s="30" t="s">
        <v>245</v>
      </c>
      <c r="F184" s="30" t="s">
        <v>1699</v>
      </c>
      <c r="G184" s="30" t="s">
        <v>245</v>
      </c>
      <c r="H184" s="30" t="s">
        <v>245</v>
      </c>
      <c r="K184" s="30" t="s">
        <v>1700</v>
      </c>
      <c r="L184" s="30" t="s">
        <v>469</v>
      </c>
      <c r="M184" s="30" t="s">
        <v>245</v>
      </c>
      <c r="N184" s="30" t="s">
        <v>245</v>
      </c>
      <c r="O184" s="30" t="s">
        <v>245</v>
      </c>
      <c r="P184" s="30" t="s">
        <v>245</v>
      </c>
      <c r="Q184" s="30" t="s">
        <v>245</v>
      </c>
      <c r="R184" s="30" t="s">
        <v>245</v>
      </c>
      <c r="S184" s="30" t="s">
        <v>245</v>
      </c>
      <c r="T184" s="30" t="s">
        <v>245</v>
      </c>
      <c r="U184" s="30" t="s">
        <v>245</v>
      </c>
      <c r="V184" s="30" t="s">
        <v>245</v>
      </c>
      <c r="W184" s="30" t="s">
        <v>245</v>
      </c>
      <c r="X184" s="30" t="s">
        <v>245</v>
      </c>
      <c r="Y184" s="30" t="s">
        <v>245</v>
      </c>
      <c r="Z184" s="30" t="s">
        <v>245</v>
      </c>
      <c r="AA184" s="30" t="s">
        <v>245</v>
      </c>
      <c r="AB184" s="30" t="s">
        <v>245</v>
      </c>
      <c r="AC184" s="30" t="s">
        <v>1701</v>
      </c>
      <c r="AD184" s="30" t="s">
        <v>1702</v>
      </c>
      <c r="AE184" s="30" t="s">
        <v>245</v>
      </c>
      <c r="AF184" s="30" t="s">
        <v>245</v>
      </c>
      <c r="AG184" s="30" t="s">
        <v>245</v>
      </c>
      <c r="AH184" s="30" t="s">
        <v>245</v>
      </c>
      <c r="AI184" s="30" t="s">
        <v>245</v>
      </c>
      <c r="AJ184" s="30" t="s">
        <v>245</v>
      </c>
      <c r="AK184" s="30" t="s">
        <v>245</v>
      </c>
      <c r="AL184" s="30" t="s">
        <v>245</v>
      </c>
      <c r="AM184" s="30" t="s">
        <v>245</v>
      </c>
      <c r="AN184" s="30" t="s">
        <v>245</v>
      </c>
      <c r="AO184" s="30" t="s">
        <v>245</v>
      </c>
      <c r="AP184" s="30" t="s">
        <v>245</v>
      </c>
      <c r="AQ184" s="30" t="s">
        <v>472</v>
      </c>
      <c r="AR184" s="30" t="s">
        <v>473</v>
      </c>
      <c r="AS184" s="30" t="s">
        <v>245</v>
      </c>
      <c r="AT184" s="30" t="s">
        <v>245</v>
      </c>
      <c r="AU184" s="30" t="s">
        <v>245</v>
      </c>
      <c r="AV184" s="30" t="s">
        <v>1703</v>
      </c>
      <c r="AW184" s="30">
        <v>2021</v>
      </c>
      <c r="AX184" s="30">
        <v>383</v>
      </c>
      <c r="AY184" s="30" t="s">
        <v>245</v>
      </c>
      <c r="AZ184" s="30" t="s">
        <v>245</v>
      </c>
      <c r="BA184" s="30" t="s">
        <v>245</v>
      </c>
      <c r="BB184" s="30" t="s">
        <v>245</v>
      </c>
      <c r="BC184" s="30" t="s">
        <v>245</v>
      </c>
      <c r="BD184" s="30" t="s">
        <v>245</v>
      </c>
      <c r="BE184" s="30" t="s">
        <v>245</v>
      </c>
      <c r="BF184" s="30">
        <v>114735</v>
      </c>
      <c r="BG184" s="30" t="s">
        <v>1704</v>
      </c>
      <c r="BH184" s="30" t="str">
        <f>HYPERLINK("http://dx.doi.org/10.1016/j.geoderma.2020.114735","http://dx.doi.org/10.1016/j.geoderma.2020.114735")</f>
        <v>http://dx.doi.org/10.1016/j.geoderma.2020.114735</v>
      </c>
      <c r="BI184" s="30" t="s">
        <v>245</v>
      </c>
      <c r="BJ184" s="30" t="s">
        <v>245</v>
      </c>
      <c r="BK184" s="30" t="s">
        <v>245</v>
      </c>
      <c r="BL184" s="30" t="s">
        <v>245</v>
      </c>
      <c r="BM184" s="30" t="s">
        <v>245</v>
      </c>
      <c r="BN184" s="30" t="s">
        <v>245</v>
      </c>
      <c r="BO184" s="30" t="s">
        <v>245</v>
      </c>
      <c r="BP184" s="30" t="s">
        <v>245</v>
      </c>
      <c r="BQ184" s="30" t="s">
        <v>245</v>
      </c>
      <c r="BR184" s="30" t="s">
        <v>245</v>
      </c>
      <c r="BS184" s="30" t="s">
        <v>245</v>
      </c>
      <c r="BT184" s="30" t="s">
        <v>245</v>
      </c>
      <c r="BU184" s="30" t="s">
        <v>1705</v>
      </c>
      <c r="BV184" s="30" t="str">
        <f>HYPERLINK("https%3A%2F%2Fwww.webofscience.com%2Fwos%2Fwoscc%2Ffull-record%2FWOS:000590747800021","View Full Record in Web of Science")</f>
        <v>View Full Record in Web of Science</v>
      </c>
    </row>
    <row r="185" spans="1:74" x14ac:dyDescent="0.2">
      <c r="A185" s="30" t="s">
        <v>243</v>
      </c>
      <c r="B185" s="30" t="s">
        <v>1706</v>
      </c>
      <c r="C185" s="30" t="s">
        <v>245</v>
      </c>
      <c r="D185" s="30" t="s">
        <v>245</v>
      </c>
      <c r="E185" s="30" t="s">
        <v>245</v>
      </c>
      <c r="F185" s="30" t="s">
        <v>1707</v>
      </c>
      <c r="G185" s="30" t="s">
        <v>245</v>
      </c>
      <c r="H185" s="30" t="s">
        <v>245</v>
      </c>
      <c r="I185" s="30" t="s">
        <v>2823</v>
      </c>
      <c r="K185" s="30" t="s">
        <v>1708</v>
      </c>
      <c r="L185" s="30" t="s">
        <v>304</v>
      </c>
      <c r="M185" s="30" t="s">
        <v>245</v>
      </c>
      <c r="N185" s="30" t="s">
        <v>245</v>
      </c>
      <c r="O185" s="30" t="s">
        <v>245</v>
      </c>
      <c r="P185" s="30" t="s">
        <v>245</v>
      </c>
      <c r="Q185" s="30" t="s">
        <v>245</v>
      </c>
      <c r="R185" s="30" t="s">
        <v>245</v>
      </c>
      <c r="S185" s="30" t="s">
        <v>245</v>
      </c>
      <c r="T185" s="30" t="s">
        <v>245</v>
      </c>
      <c r="U185" s="30" t="s">
        <v>245</v>
      </c>
      <c r="V185" s="30" t="s">
        <v>245</v>
      </c>
      <c r="W185" s="30" t="s">
        <v>245</v>
      </c>
      <c r="X185" s="30" t="s">
        <v>245</v>
      </c>
      <c r="Y185" s="30" t="s">
        <v>245</v>
      </c>
      <c r="Z185" s="30" t="s">
        <v>245</v>
      </c>
      <c r="AA185" s="30" t="s">
        <v>245</v>
      </c>
      <c r="AB185" s="30" t="s">
        <v>245</v>
      </c>
      <c r="AC185" s="30" t="s">
        <v>1709</v>
      </c>
      <c r="AD185" s="30" t="s">
        <v>1710</v>
      </c>
      <c r="AE185" s="30" t="s">
        <v>245</v>
      </c>
      <c r="AF185" s="30" t="s">
        <v>245</v>
      </c>
      <c r="AG185" s="30" t="s">
        <v>245</v>
      </c>
      <c r="AH185" s="30" t="s">
        <v>245</v>
      </c>
      <c r="AI185" s="30" t="s">
        <v>245</v>
      </c>
      <c r="AJ185" s="30" t="s">
        <v>245</v>
      </c>
      <c r="AK185" s="30" t="s">
        <v>245</v>
      </c>
      <c r="AL185" s="30" t="s">
        <v>245</v>
      </c>
      <c r="AM185" s="30" t="s">
        <v>245</v>
      </c>
      <c r="AN185" s="30" t="s">
        <v>245</v>
      </c>
      <c r="AO185" s="30" t="s">
        <v>245</v>
      </c>
      <c r="AP185" s="30" t="s">
        <v>245</v>
      </c>
      <c r="AQ185" s="30" t="s">
        <v>307</v>
      </c>
      <c r="AR185" s="30" t="s">
        <v>308</v>
      </c>
      <c r="AS185" s="30" t="s">
        <v>245</v>
      </c>
      <c r="AT185" s="30" t="s">
        <v>245</v>
      </c>
      <c r="AU185" s="30" t="s">
        <v>245</v>
      </c>
      <c r="AV185" s="30" t="s">
        <v>265</v>
      </c>
      <c r="AW185" s="30">
        <v>2014</v>
      </c>
      <c r="AX185" s="30">
        <v>60</v>
      </c>
      <c r="AY185" s="30">
        <v>3</v>
      </c>
      <c r="AZ185" s="30" t="s">
        <v>245</v>
      </c>
      <c r="BA185" s="30" t="s">
        <v>245</v>
      </c>
      <c r="BB185" s="30" t="s">
        <v>245</v>
      </c>
      <c r="BC185" s="30" t="s">
        <v>245</v>
      </c>
      <c r="BD185" s="30">
        <v>404</v>
      </c>
      <c r="BE185" s="30">
        <v>410</v>
      </c>
      <c r="BF185" s="30" t="s">
        <v>245</v>
      </c>
      <c r="BG185" s="30" t="s">
        <v>1711</v>
      </c>
      <c r="BH185" s="30" t="str">
        <f>HYPERLINK("http://dx.doi.org/10.1080/00380768.2014.893812","http://dx.doi.org/10.1080/00380768.2014.893812")</f>
        <v>http://dx.doi.org/10.1080/00380768.2014.893812</v>
      </c>
      <c r="BI185" s="30" t="s">
        <v>245</v>
      </c>
      <c r="BJ185" s="30" t="s">
        <v>245</v>
      </c>
      <c r="BK185" s="30" t="s">
        <v>245</v>
      </c>
      <c r="BL185" s="30" t="s">
        <v>245</v>
      </c>
      <c r="BM185" s="30" t="s">
        <v>245</v>
      </c>
      <c r="BN185" s="30" t="s">
        <v>245</v>
      </c>
      <c r="BO185" s="30" t="s">
        <v>245</v>
      </c>
      <c r="BP185" s="30" t="s">
        <v>245</v>
      </c>
      <c r="BQ185" s="30" t="s">
        <v>245</v>
      </c>
      <c r="BR185" s="30" t="s">
        <v>245</v>
      </c>
      <c r="BS185" s="30" t="s">
        <v>245</v>
      </c>
      <c r="BT185" s="30" t="s">
        <v>245</v>
      </c>
      <c r="BU185" s="30" t="s">
        <v>1712</v>
      </c>
      <c r="BV185" s="30" t="str">
        <f>HYPERLINK("https%3A%2F%2Fwww.webofscience.com%2Fwos%2Fwoscc%2Ffull-record%2FWOS:000340088800013","View Full Record in Web of Science")</f>
        <v>View Full Record in Web of Science</v>
      </c>
    </row>
    <row r="186" spans="1:74" x14ac:dyDescent="0.2">
      <c r="A186" s="30" t="s">
        <v>243</v>
      </c>
      <c r="B186" s="30" t="s">
        <v>1713</v>
      </c>
      <c r="C186" s="30" t="s">
        <v>245</v>
      </c>
      <c r="D186" s="30" t="s">
        <v>245</v>
      </c>
      <c r="E186" s="30" t="s">
        <v>245</v>
      </c>
      <c r="F186" s="30" t="s">
        <v>1714</v>
      </c>
      <c r="G186" s="30" t="s">
        <v>245</v>
      </c>
      <c r="H186" s="30" t="s">
        <v>245</v>
      </c>
      <c r="K186" s="30" t="s">
        <v>1715</v>
      </c>
      <c r="L186" s="30" t="s">
        <v>469</v>
      </c>
      <c r="M186" s="30" t="s">
        <v>245</v>
      </c>
      <c r="N186" s="30" t="s">
        <v>245</v>
      </c>
      <c r="O186" s="30" t="s">
        <v>245</v>
      </c>
      <c r="P186" s="30" t="s">
        <v>245</v>
      </c>
      <c r="Q186" s="30" t="s">
        <v>245</v>
      </c>
      <c r="R186" s="30" t="s">
        <v>245</v>
      </c>
      <c r="S186" s="30" t="s">
        <v>245</v>
      </c>
      <c r="T186" s="30" t="s">
        <v>245</v>
      </c>
      <c r="U186" s="30" t="s">
        <v>245</v>
      </c>
      <c r="V186" s="30" t="s">
        <v>245</v>
      </c>
      <c r="W186" s="30" t="s">
        <v>245</v>
      </c>
      <c r="X186" s="30" t="s">
        <v>245</v>
      </c>
      <c r="Y186" s="30" t="s">
        <v>245</v>
      </c>
      <c r="Z186" s="30" t="s">
        <v>245</v>
      </c>
      <c r="AA186" s="30" t="s">
        <v>245</v>
      </c>
      <c r="AB186" s="30" t="s">
        <v>245</v>
      </c>
      <c r="AC186" s="30" t="s">
        <v>1716</v>
      </c>
      <c r="AD186" s="30" t="s">
        <v>1717</v>
      </c>
      <c r="AE186" s="30" t="s">
        <v>245</v>
      </c>
      <c r="AF186" s="30" t="s">
        <v>245</v>
      </c>
      <c r="AG186" s="30" t="s">
        <v>245</v>
      </c>
      <c r="AH186" s="30" t="s">
        <v>245</v>
      </c>
      <c r="AI186" s="30" t="s">
        <v>245</v>
      </c>
      <c r="AJ186" s="30" t="s">
        <v>245</v>
      </c>
      <c r="AK186" s="30" t="s">
        <v>245</v>
      </c>
      <c r="AL186" s="30" t="s">
        <v>245</v>
      </c>
      <c r="AM186" s="30" t="s">
        <v>245</v>
      </c>
      <c r="AN186" s="30" t="s">
        <v>245</v>
      </c>
      <c r="AO186" s="30" t="s">
        <v>245</v>
      </c>
      <c r="AP186" s="30" t="s">
        <v>245</v>
      </c>
      <c r="AQ186" s="30" t="s">
        <v>472</v>
      </c>
      <c r="AR186" s="30" t="s">
        <v>473</v>
      </c>
      <c r="AS186" s="30" t="s">
        <v>245</v>
      </c>
      <c r="AT186" s="30" t="s">
        <v>245</v>
      </c>
      <c r="AU186" s="30" t="s">
        <v>245</v>
      </c>
      <c r="AV186" s="30" t="s">
        <v>395</v>
      </c>
      <c r="AW186" s="30">
        <v>2018</v>
      </c>
      <c r="AX186" s="30">
        <v>325</v>
      </c>
      <c r="AY186" s="30" t="s">
        <v>245</v>
      </c>
      <c r="AZ186" s="30" t="s">
        <v>245</v>
      </c>
      <c r="BA186" s="30" t="s">
        <v>245</v>
      </c>
      <c r="BB186" s="30" t="s">
        <v>245</v>
      </c>
      <c r="BC186" s="30" t="s">
        <v>245</v>
      </c>
      <c r="BD186" s="30">
        <v>208</v>
      </c>
      <c r="BE186" s="30">
        <v>217</v>
      </c>
      <c r="BF186" s="30" t="s">
        <v>245</v>
      </c>
      <c r="BG186" s="30" t="s">
        <v>1718</v>
      </c>
      <c r="BH186" s="30" t="str">
        <f>HYPERLINK("http://dx.doi.org/10.1016/j.geoderma.2018.03.035","http://dx.doi.org/10.1016/j.geoderma.2018.03.035")</f>
        <v>http://dx.doi.org/10.1016/j.geoderma.2018.03.035</v>
      </c>
      <c r="BI186" s="30" t="s">
        <v>245</v>
      </c>
      <c r="BJ186" s="30" t="s">
        <v>245</v>
      </c>
      <c r="BK186" s="30" t="s">
        <v>245</v>
      </c>
      <c r="BL186" s="30" t="s">
        <v>245</v>
      </c>
      <c r="BM186" s="30" t="s">
        <v>245</v>
      </c>
      <c r="BN186" s="30" t="s">
        <v>245</v>
      </c>
      <c r="BO186" s="30" t="s">
        <v>245</v>
      </c>
      <c r="BP186" s="30" t="s">
        <v>245</v>
      </c>
      <c r="BQ186" s="30" t="s">
        <v>245</v>
      </c>
      <c r="BR186" s="30" t="s">
        <v>245</v>
      </c>
      <c r="BS186" s="30" t="s">
        <v>245</v>
      </c>
      <c r="BT186" s="30" t="s">
        <v>245</v>
      </c>
      <c r="BU186" s="30" t="s">
        <v>1719</v>
      </c>
      <c r="BV186" s="30" t="str">
        <f>HYPERLINK("https%3A%2F%2Fwww.webofscience.com%2Fwos%2Fwoscc%2Ffull-record%2FWOS:000432499000020","View Full Record in Web of Science")</f>
        <v>View Full Record in Web of Science</v>
      </c>
    </row>
    <row r="187" spans="1:74" x14ac:dyDescent="0.2">
      <c r="A187" s="30" t="s">
        <v>243</v>
      </c>
      <c r="B187" s="30" t="s">
        <v>1720</v>
      </c>
      <c r="C187" s="30" t="s">
        <v>245</v>
      </c>
      <c r="D187" s="30" t="s">
        <v>245</v>
      </c>
      <c r="E187" s="30" t="s">
        <v>245</v>
      </c>
      <c r="F187" s="30" t="s">
        <v>1721</v>
      </c>
      <c r="G187" s="30" t="s">
        <v>245</v>
      </c>
      <c r="H187" s="30" t="s">
        <v>245</v>
      </c>
      <c r="I187" s="30" t="s">
        <v>2823</v>
      </c>
      <c r="K187" s="30" t="s">
        <v>1722</v>
      </c>
      <c r="L187" s="30" t="s">
        <v>1723</v>
      </c>
      <c r="M187" s="30" t="s">
        <v>245</v>
      </c>
      <c r="N187" s="30" t="s">
        <v>245</v>
      </c>
      <c r="O187" s="30" t="s">
        <v>245</v>
      </c>
      <c r="P187" s="30" t="s">
        <v>245</v>
      </c>
      <c r="Q187" s="30" t="s">
        <v>245</v>
      </c>
      <c r="R187" s="30" t="s">
        <v>245</v>
      </c>
      <c r="S187" s="30" t="s">
        <v>245</v>
      </c>
      <c r="T187" s="30" t="s">
        <v>245</v>
      </c>
      <c r="U187" s="30" t="s">
        <v>245</v>
      </c>
      <c r="V187" s="30" t="s">
        <v>245</v>
      </c>
      <c r="W187" s="30" t="s">
        <v>245</v>
      </c>
      <c r="X187" s="30" t="s">
        <v>245</v>
      </c>
      <c r="Y187" s="30" t="s">
        <v>245</v>
      </c>
      <c r="Z187" s="30" t="s">
        <v>245</v>
      </c>
      <c r="AA187" s="30" t="s">
        <v>245</v>
      </c>
      <c r="AB187" s="30" t="s">
        <v>245</v>
      </c>
      <c r="AC187" s="30" t="s">
        <v>1724</v>
      </c>
      <c r="AD187" s="30" t="s">
        <v>245</v>
      </c>
      <c r="AE187" s="30" t="s">
        <v>245</v>
      </c>
      <c r="AF187" s="30" t="s">
        <v>245</v>
      </c>
      <c r="AG187" s="30" t="s">
        <v>245</v>
      </c>
      <c r="AH187" s="30" t="s">
        <v>245</v>
      </c>
      <c r="AI187" s="30" t="s">
        <v>245</v>
      </c>
      <c r="AJ187" s="30" t="s">
        <v>245</v>
      </c>
      <c r="AK187" s="30" t="s">
        <v>245</v>
      </c>
      <c r="AL187" s="30" t="s">
        <v>245</v>
      </c>
      <c r="AM187" s="30" t="s">
        <v>245</v>
      </c>
      <c r="AN187" s="30" t="s">
        <v>245</v>
      </c>
      <c r="AO187" s="30" t="s">
        <v>245</v>
      </c>
      <c r="AP187" s="30" t="s">
        <v>245</v>
      </c>
      <c r="AQ187" s="30" t="s">
        <v>1725</v>
      </c>
      <c r="AR187" s="30" t="s">
        <v>1726</v>
      </c>
      <c r="AS187" s="30" t="s">
        <v>245</v>
      </c>
      <c r="AT187" s="30" t="s">
        <v>245</v>
      </c>
      <c r="AU187" s="30" t="s">
        <v>245</v>
      </c>
      <c r="AV187" s="30" t="s">
        <v>487</v>
      </c>
      <c r="AW187" s="30">
        <v>2025</v>
      </c>
      <c r="AX187" s="30">
        <v>39</v>
      </c>
      <c r="AY187" s="30">
        <v>3</v>
      </c>
      <c r="AZ187" s="30" t="s">
        <v>245</v>
      </c>
      <c r="BA187" s="30" t="s">
        <v>245</v>
      </c>
      <c r="BB187" s="30" t="s">
        <v>245</v>
      </c>
      <c r="BC187" s="30" t="s">
        <v>245</v>
      </c>
      <c r="BD187" s="30" t="s">
        <v>245</v>
      </c>
      <c r="BE187" s="30" t="s">
        <v>245</v>
      </c>
      <c r="BF187" s="30" t="s">
        <v>1727</v>
      </c>
      <c r="BG187" s="30" t="s">
        <v>1728</v>
      </c>
      <c r="BH187" s="30" t="str">
        <f>HYPERLINK("http://dx.doi.org/10.1029/2024GB008209","http://dx.doi.org/10.1029/2024GB008209")</f>
        <v>http://dx.doi.org/10.1029/2024GB008209</v>
      </c>
      <c r="BI187" s="30" t="s">
        <v>245</v>
      </c>
      <c r="BJ187" s="30" t="s">
        <v>245</v>
      </c>
      <c r="BK187" s="30" t="s">
        <v>245</v>
      </c>
      <c r="BL187" s="30" t="s">
        <v>245</v>
      </c>
      <c r="BM187" s="30" t="s">
        <v>245</v>
      </c>
      <c r="BN187" s="30" t="s">
        <v>245</v>
      </c>
      <c r="BO187" s="30" t="s">
        <v>245</v>
      </c>
      <c r="BP187" s="30" t="s">
        <v>245</v>
      </c>
      <c r="BQ187" s="30" t="s">
        <v>245</v>
      </c>
      <c r="BR187" s="30" t="s">
        <v>245</v>
      </c>
      <c r="BS187" s="30" t="s">
        <v>245</v>
      </c>
      <c r="BT187" s="30" t="s">
        <v>245</v>
      </c>
      <c r="BU187" s="30" t="s">
        <v>1729</v>
      </c>
      <c r="BV187" s="30" t="str">
        <f>HYPERLINK("https%3A%2F%2Fwww.webofscience.com%2Fwos%2Fwoscc%2Ffull-record%2FWOS:001444927200001","View Full Record in Web of Science")</f>
        <v>View Full Record in Web of Science</v>
      </c>
    </row>
    <row r="188" spans="1:74" x14ac:dyDescent="0.2">
      <c r="A188" s="30" t="s">
        <v>243</v>
      </c>
      <c r="B188" s="30" t="s">
        <v>1730</v>
      </c>
      <c r="C188" s="30" t="s">
        <v>245</v>
      </c>
      <c r="D188" s="30" t="s">
        <v>245</v>
      </c>
      <c r="E188" s="30" t="s">
        <v>245</v>
      </c>
      <c r="F188" s="30" t="s">
        <v>1731</v>
      </c>
      <c r="G188" s="30" t="s">
        <v>245</v>
      </c>
      <c r="H188" s="30" t="s">
        <v>245</v>
      </c>
      <c r="I188" s="30" t="s">
        <v>2829</v>
      </c>
      <c r="K188" s="30" t="s">
        <v>1732</v>
      </c>
      <c r="L188" s="30" t="s">
        <v>1122</v>
      </c>
      <c r="M188" s="30" t="s">
        <v>245</v>
      </c>
      <c r="N188" s="30" t="s">
        <v>245</v>
      </c>
      <c r="O188" s="30" t="s">
        <v>245</v>
      </c>
      <c r="P188" s="30" t="s">
        <v>245</v>
      </c>
      <c r="Q188" s="30" t="s">
        <v>245</v>
      </c>
      <c r="R188" s="30" t="s">
        <v>245</v>
      </c>
      <c r="S188" s="30" t="s">
        <v>245</v>
      </c>
      <c r="T188" s="30" t="s">
        <v>245</v>
      </c>
      <c r="U188" s="30" t="s">
        <v>245</v>
      </c>
      <c r="V188" s="30" t="s">
        <v>245</v>
      </c>
      <c r="W188" s="30" t="s">
        <v>245</v>
      </c>
      <c r="X188" s="30" t="s">
        <v>245</v>
      </c>
      <c r="Y188" s="30" t="s">
        <v>245</v>
      </c>
      <c r="Z188" s="30" t="s">
        <v>245</v>
      </c>
      <c r="AA188" s="30" t="s">
        <v>245</v>
      </c>
      <c r="AB188" s="30" t="s">
        <v>245</v>
      </c>
      <c r="AC188" s="30" t="s">
        <v>1733</v>
      </c>
      <c r="AD188" s="30" t="s">
        <v>1734</v>
      </c>
      <c r="AE188" s="30" t="s">
        <v>245</v>
      </c>
      <c r="AF188" s="30" t="s">
        <v>245</v>
      </c>
      <c r="AG188" s="30" t="s">
        <v>245</v>
      </c>
      <c r="AH188" s="30" t="s">
        <v>245</v>
      </c>
      <c r="AI188" s="30" t="s">
        <v>245</v>
      </c>
      <c r="AJ188" s="30" t="s">
        <v>245</v>
      </c>
      <c r="AK188" s="30" t="s">
        <v>245</v>
      </c>
      <c r="AL188" s="30" t="s">
        <v>245</v>
      </c>
      <c r="AM188" s="30" t="s">
        <v>245</v>
      </c>
      <c r="AN188" s="30" t="s">
        <v>245</v>
      </c>
      <c r="AO188" s="30" t="s">
        <v>245</v>
      </c>
      <c r="AP188" s="30" t="s">
        <v>245</v>
      </c>
      <c r="AQ188" s="30" t="s">
        <v>245</v>
      </c>
      <c r="AR188" s="30" t="s">
        <v>1125</v>
      </c>
      <c r="AS188" s="30" t="s">
        <v>245</v>
      </c>
      <c r="AT188" s="30" t="s">
        <v>245</v>
      </c>
      <c r="AU188" s="30" t="s">
        <v>245</v>
      </c>
      <c r="AV188" s="30" t="s">
        <v>435</v>
      </c>
      <c r="AW188" s="30">
        <v>2020</v>
      </c>
      <c r="AX188" s="30">
        <v>10</v>
      </c>
      <c r="AY188" s="30">
        <v>5</v>
      </c>
      <c r="AZ188" s="30" t="s">
        <v>245</v>
      </c>
      <c r="BA188" s="30" t="s">
        <v>245</v>
      </c>
      <c r="BB188" s="30" t="s">
        <v>245</v>
      </c>
      <c r="BC188" s="30" t="s">
        <v>245</v>
      </c>
      <c r="BD188" s="30" t="s">
        <v>245</v>
      </c>
      <c r="BE188" s="30" t="s">
        <v>245</v>
      </c>
      <c r="BF188" s="30">
        <v>685</v>
      </c>
      <c r="BG188" s="30" t="s">
        <v>1735</v>
      </c>
      <c r="BH188" s="30" t="str">
        <f>HYPERLINK("http://dx.doi.org/10.3390/agronomy10050685","http://dx.doi.org/10.3390/agronomy10050685")</f>
        <v>http://dx.doi.org/10.3390/agronomy10050685</v>
      </c>
      <c r="BI188" s="30" t="s">
        <v>245</v>
      </c>
      <c r="BJ188" s="30" t="s">
        <v>245</v>
      </c>
      <c r="BK188" s="30" t="s">
        <v>245</v>
      </c>
      <c r="BL188" s="30" t="s">
        <v>245</v>
      </c>
      <c r="BM188" s="30" t="s">
        <v>245</v>
      </c>
      <c r="BN188" s="30" t="s">
        <v>245</v>
      </c>
      <c r="BO188" s="30" t="s">
        <v>245</v>
      </c>
      <c r="BP188" s="30" t="s">
        <v>245</v>
      </c>
      <c r="BQ188" s="30" t="s">
        <v>245</v>
      </c>
      <c r="BR188" s="30" t="s">
        <v>245</v>
      </c>
      <c r="BS188" s="30" t="s">
        <v>245</v>
      </c>
      <c r="BT188" s="30" t="s">
        <v>245</v>
      </c>
      <c r="BU188" s="30" t="s">
        <v>1736</v>
      </c>
      <c r="BV188" s="30" t="str">
        <f>HYPERLINK("https%3A%2F%2Fwww.webofscience.com%2Fwos%2Fwoscc%2Ffull-record%2FWOS:000541750900071","View Full Record in Web of Science")</f>
        <v>View Full Record in Web of Science</v>
      </c>
    </row>
    <row r="189" spans="1:74" x14ac:dyDescent="0.2">
      <c r="A189" s="30" t="s">
        <v>243</v>
      </c>
      <c r="B189" s="30" t="s">
        <v>1737</v>
      </c>
      <c r="C189" s="30" t="s">
        <v>245</v>
      </c>
      <c r="D189" s="30" t="s">
        <v>245</v>
      </c>
      <c r="E189" s="30" t="s">
        <v>245</v>
      </c>
      <c r="F189" s="30" t="s">
        <v>1738</v>
      </c>
      <c r="G189" s="30" t="s">
        <v>245</v>
      </c>
      <c r="H189" s="30" t="s">
        <v>245</v>
      </c>
      <c r="I189" s="30" t="s">
        <v>2823</v>
      </c>
      <c r="K189" s="30" t="s">
        <v>1739</v>
      </c>
      <c r="L189" s="30" t="s">
        <v>1015</v>
      </c>
      <c r="M189" s="30" t="s">
        <v>245</v>
      </c>
      <c r="N189" s="30" t="s">
        <v>245</v>
      </c>
      <c r="O189" s="30" t="s">
        <v>245</v>
      </c>
      <c r="P189" s="30" t="s">
        <v>245</v>
      </c>
      <c r="Q189" s="30" t="s">
        <v>245</v>
      </c>
      <c r="R189" s="30" t="s">
        <v>245</v>
      </c>
      <c r="S189" s="30" t="s">
        <v>245</v>
      </c>
      <c r="T189" s="30" t="s">
        <v>245</v>
      </c>
      <c r="U189" s="30" t="s">
        <v>245</v>
      </c>
      <c r="V189" s="30" t="s">
        <v>245</v>
      </c>
      <c r="W189" s="30" t="s">
        <v>245</v>
      </c>
      <c r="X189" s="30" t="s">
        <v>245</v>
      </c>
      <c r="Y189" s="30" t="s">
        <v>245</v>
      </c>
      <c r="Z189" s="30" t="s">
        <v>245</v>
      </c>
      <c r="AA189" s="30" t="s">
        <v>245</v>
      </c>
      <c r="AB189" s="30" t="s">
        <v>245</v>
      </c>
      <c r="AC189" s="30" t="s">
        <v>245</v>
      </c>
      <c r="AD189" s="30" t="s">
        <v>245</v>
      </c>
      <c r="AE189" s="30" t="s">
        <v>245</v>
      </c>
      <c r="AF189" s="30" t="s">
        <v>245</v>
      </c>
      <c r="AG189" s="30" t="s">
        <v>245</v>
      </c>
      <c r="AH189" s="30" t="s">
        <v>245</v>
      </c>
      <c r="AI189" s="30" t="s">
        <v>245</v>
      </c>
      <c r="AJ189" s="30" t="s">
        <v>245</v>
      </c>
      <c r="AK189" s="30" t="s">
        <v>245</v>
      </c>
      <c r="AL189" s="30" t="s">
        <v>245</v>
      </c>
      <c r="AM189" s="30" t="s">
        <v>245</v>
      </c>
      <c r="AN189" s="30" t="s">
        <v>245</v>
      </c>
      <c r="AO189" s="30" t="s">
        <v>245</v>
      </c>
      <c r="AP189" s="30" t="s">
        <v>245</v>
      </c>
      <c r="AQ189" s="30" t="s">
        <v>1018</v>
      </c>
      <c r="AR189" s="30" t="s">
        <v>1019</v>
      </c>
      <c r="AS189" s="30" t="s">
        <v>245</v>
      </c>
      <c r="AT189" s="30" t="s">
        <v>245</v>
      </c>
      <c r="AU189" s="30" t="s">
        <v>245</v>
      </c>
      <c r="AV189" s="30" t="s">
        <v>1740</v>
      </c>
      <c r="AW189" s="30">
        <v>2025</v>
      </c>
      <c r="AX189" s="30">
        <v>168</v>
      </c>
      <c r="AY189" s="30">
        <v>2</v>
      </c>
      <c r="AZ189" s="30" t="s">
        <v>245</v>
      </c>
      <c r="BA189" s="30" t="s">
        <v>245</v>
      </c>
      <c r="BB189" s="30" t="s">
        <v>245</v>
      </c>
      <c r="BC189" s="30" t="s">
        <v>245</v>
      </c>
      <c r="BD189" s="30" t="s">
        <v>245</v>
      </c>
      <c r="BE189" s="30" t="s">
        <v>245</v>
      </c>
      <c r="BF189" s="30">
        <v>38</v>
      </c>
      <c r="BG189" s="30" t="s">
        <v>1741</v>
      </c>
      <c r="BH189" s="30" t="str">
        <f>HYPERLINK("http://dx.doi.org/10.1007/s10533-025-01229-4","http://dx.doi.org/10.1007/s10533-025-01229-4")</f>
        <v>http://dx.doi.org/10.1007/s10533-025-01229-4</v>
      </c>
      <c r="BI189" s="30" t="s">
        <v>245</v>
      </c>
      <c r="BJ189" s="30" t="s">
        <v>245</v>
      </c>
      <c r="BK189" s="30" t="s">
        <v>245</v>
      </c>
      <c r="BL189" s="30" t="s">
        <v>245</v>
      </c>
      <c r="BM189" s="30" t="s">
        <v>245</v>
      </c>
      <c r="BN189" s="30" t="s">
        <v>245</v>
      </c>
      <c r="BO189" s="30" t="s">
        <v>245</v>
      </c>
      <c r="BP189" s="30" t="s">
        <v>245</v>
      </c>
      <c r="BQ189" s="30" t="s">
        <v>245</v>
      </c>
      <c r="BR189" s="30" t="s">
        <v>245</v>
      </c>
      <c r="BS189" s="30" t="s">
        <v>245</v>
      </c>
      <c r="BT189" s="30" t="s">
        <v>245</v>
      </c>
      <c r="BU189" s="30" t="s">
        <v>1742</v>
      </c>
      <c r="BV189" s="30" t="str">
        <f>HYPERLINK("https%3A%2F%2Fwww.webofscience.com%2Fwos%2Fwoscc%2Ffull-record%2FWOS:001458898400001","View Full Record in Web of Science")</f>
        <v>View Full Record in Web of Science</v>
      </c>
    </row>
    <row r="190" spans="1:74" x14ac:dyDescent="0.2">
      <c r="A190" s="30" t="s">
        <v>243</v>
      </c>
      <c r="B190" s="30" t="s">
        <v>1743</v>
      </c>
      <c r="C190" s="30" t="s">
        <v>245</v>
      </c>
      <c r="D190" s="30" t="s">
        <v>245</v>
      </c>
      <c r="E190" s="30" t="s">
        <v>245</v>
      </c>
      <c r="F190" s="30" t="s">
        <v>1744</v>
      </c>
      <c r="G190" s="30" t="s">
        <v>245</v>
      </c>
      <c r="H190" s="30" t="s">
        <v>245</v>
      </c>
      <c r="I190" s="30" t="s">
        <v>2826</v>
      </c>
      <c r="K190" s="30" t="s">
        <v>1745</v>
      </c>
      <c r="L190" s="30" t="s">
        <v>1746</v>
      </c>
      <c r="M190" s="30" t="s">
        <v>245</v>
      </c>
      <c r="N190" s="30" t="s">
        <v>245</v>
      </c>
      <c r="O190" s="30" t="s">
        <v>245</v>
      </c>
      <c r="P190" s="30" t="s">
        <v>245</v>
      </c>
      <c r="Q190" s="30" t="s">
        <v>245</v>
      </c>
      <c r="R190" s="30" t="s">
        <v>245</v>
      </c>
      <c r="S190" s="30" t="s">
        <v>245</v>
      </c>
      <c r="T190" s="30" t="s">
        <v>245</v>
      </c>
      <c r="U190" s="30" t="s">
        <v>245</v>
      </c>
      <c r="V190" s="30" t="s">
        <v>245</v>
      </c>
      <c r="W190" s="30" t="s">
        <v>245</v>
      </c>
      <c r="X190" s="30" t="s">
        <v>245</v>
      </c>
      <c r="Y190" s="30" t="s">
        <v>245</v>
      </c>
      <c r="Z190" s="30" t="s">
        <v>245</v>
      </c>
      <c r="AA190" s="30" t="s">
        <v>245</v>
      </c>
      <c r="AB190" s="30" t="s">
        <v>245</v>
      </c>
      <c r="AC190" s="30" t="s">
        <v>1747</v>
      </c>
      <c r="AD190" s="30" t="s">
        <v>1748</v>
      </c>
      <c r="AE190" s="30" t="s">
        <v>245</v>
      </c>
      <c r="AF190" s="30" t="s">
        <v>245</v>
      </c>
      <c r="AG190" s="30" t="s">
        <v>245</v>
      </c>
      <c r="AH190" s="30" t="s">
        <v>245</v>
      </c>
      <c r="AI190" s="30" t="s">
        <v>245</v>
      </c>
      <c r="AJ190" s="30" t="s">
        <v>245</v>
      </c>
      <c r="AK190" s="30" t="s">
        <v>245</v>
      </c>
      <c r="AL190" s="30" t="s">
        <v>245</v>
      </c>
      <c r="AM190" s="30" t="s">
        <v>245</v>
      </c>
      <c r="AN190" s="30" t="s">
        <v>245</v>
      </c>
      <c r="AO190" s="30" t="s">
        <v>245</v>
      </c>
      <c r="AP190" s="30" t="s">
        <v>245</v>
      </c>
      <c r="AQ190" s="30" t="s">
        <v>245</v>
      </c>
      <c r="AR190" s="30" t="s">
        <v>1749</v>
      </c>
      <c r="AS190" s="30" t="s">
        <v>245</v>
      </c>
      <c r="AT190" s="30" t="s">
        <v>245</v>
      </c>
      <c r="AU190" s="30" t="s">
        <v>245</v>
      </c>
      <c r="AV190" s="30" t="s">
        <v>1750</v>
      </c>
      <c r="AW190" s="30">
        <v>2021</v>
      </c>
      <c r="AX190" s="30">
        <v>1</v>
      </c>
      <c r="AY190" s="30">
        <v>5</v>
      </c>
      <c r="AZ190" s="30" t="s">
        <v>245</v>
      </c>
      <c r="BA190" s="30" t="s">
        <v>245</v>
      </c>
      <c r="BB190" s="30" t="s">
        <v>245</v>
      </c>
      <c r="BC190" s="30" t="s">
        <v>245</v>
      </c>
      <c r="BD190" s="30">
        <v>540</v>
      </c>
      <c r="BE190" s="30">
        <v>549</v>
      </c>
      <c r="BF190" s="30" t="s">
        <v>245</v>
      </c>
      <c r="BG190" s="30" t="s">
        <v>1751</v>
      </c>
      <c r="BH190" s="30" t="str">
        <f>HYPERLINK("http://dx.doi.org/10.1021/acsagscitech.1c00150","http://dx.doi.org/10.1021/acsagscitech.1c00150")</f>
        <v>http://dx.doi.org/10.1021/acsagscitech.1c00150</v>
      </c>
      <c r="BI190" s="30" t="s">
        <v>245</v>
      </c>
      <c r="BJ190" s="30" t="s">
        <v>245</v>
      </c>
      <c r="BK190" s="30" t="s">
        <v>245</v>
      </c>
      <c r="BL190" s="30" t="s">
        <v>245</v>
      </c>
      <c r="BM190" s="30" t="s">
        <v>245</v>
      </c>
      <c r="BN190" s="30" t="s">
        <v>245</v>
      </c>
      <c r="BO190" s="30" t="s">
        <v>245</v>
      </c>
      <c r="BP190" s="30" t="s">
        <v>245</v>
      </c>
      <c r="BQ190" s="30" t="s">
        <v>245</v>
      </c>
      <c r="BR190" s="30" t="s">
        <v>245</v>
      </c>
      <c r="BS190" s="30" t="s">
        <v>245</v>
      </c>
      <c r="BT190" s="30" t="s">
        <v>245</v>
      </c>
      <c r="BU190" s="30" t="s">
        <v>1752</v>
      </c>
      <c r="BV190" s="30" t="str">
        <f>HYPERLINK("https%3A%2F%2Fwww.webofscience.com%2Fwos%2Fwoscc%2Ffull-record%2FWOS:000874464900001","View Full Record in Web of Science")</f>
        <v>View Full Record in Web of Science</v>
      </c>
    </row>
    <row r="191" spans="1:74" x14ac:dyDescent="0.2">
      <c r="A191" s="30" t="s">
        <v>243</v>
      </c>
      <c r="B191" s="30" t="s">
        <v>1753</v>
      </c>
      <c r="C191" s="30" t="s">
        <v>245</v>
      </c>
      <c r="D191" s="30" t="s">
        <v>245</v>
      </c>
      <c r="E191" s="30" t="s">
        <v>245</v>
      </c>
      <c r="F191" s="30" t="s">
        <v>1754</v>
      </c>
      <c r="G191" s="30" t="s">
        <v>245</v>
      </c>
      <c r="H191" s="30" t="s">
        <v>245</v>
      </c>
      <c r="I191" s="30" t="s">
        <v>2826</v>
      </c>
      <c r="K191" s="30" t="s">
        <v>1755</v>
      </c>
      <c r="L191" s="30" t="s">
        <v>248</v>
      </c>
      <c r="M191" s="30" t="s">
        <v>245</v>
      </c>
      <c r="N191" s="30" t="s">
        <v>245</v>
      </c>
      <c r="O191" s="30" t="s">
        <v>245</v>
      </c>
      <c r="P191" s="30" t="s">
        <v>245</v>
      </c>
      <c r="Q191" s="30" t="s">
        <v>245</v>
      </c>
      <c r="R191" s="30" t="s">
        <v>245</v>
      </c>
      <c r="S191" s="30" t="s">
        <v>245</v>
      </c>
      <c r="T191" s="30" t="s">
        <v>245</v>
      </c>
      <c r="U191" s="30" t="s">
        <v>245</v>
      </c>
      <c r="V191" s="30" t="s">
        <v>245</v>
      </c>
      <c r="W191" s="30" t="s">
        <v>245</v>
      </c>
      <c r="X191" s="30" t="s">
        <v>245</v>
      </c>
      <c r="Y191" s="30" t="s">
        <v>245</v>
      </c>
      <c r="Z191" s="30" t="s">
        <v>245</v>
      </c>
      <c r="AA191" s="30" t="s">
        <v>245</v>
      </c>
      <c r="AB191" s="30" t="s">
        <v>245</v>
      </c>
      <c r="AC191" s="30" t="s">
        <v>1756</v>
      </c>
      <c r="AD191" s="30" t="s">
        <v>1757</v>
      </c>
      <c r="AE191" s="30" t="s">
        <v>245</v>
      </c>
      <c r="AF191" s="30" t="s">
        <v>245</v>
      </c>
      <c r="AG191" s="30" t="s">
        <v>245</v>
      </c>
      <c r="AH191" s="30" t="s">
        <v>245</v>
      </c>
      <c r="AI191" s="30" t="s">
        <v>245</v>
      </c>
      <c r="AJ191" s="30" t="s">
        <v>245</v>
      </c>
      <c r="AK191" s="30" t="s">
        <v>245</v>
      </c>
      <c r="AL191" s="30" t="s">
        <v>245</v>
      </c>
      <c r="AM191" s="30" t="s">
        <v>245</v>
      </c>
      <c r="AN191" s="30" t="s">
        <v>245</v>
      </c>
      <c r="AO191" s="30" t="s">
        <v>245</v>
      </c>
      <c r="AP191" s="30" t="s">
        <v>245</v>
      </c>
      <c r="AQ191" s="30" t="s">
        <v>251</v>
      </c>
      <c r="AR191" s="30" t="s">
        <v>245</v>
      </c>
      <c r="AS191" s="30" t="s">
        <v>245</v>
      </c>
      <c r="AT191" s="30" t="s">
        <v>245</v>
      </c>
      <c r="AU191" s="30" t="s">
        <v>245</v>
      </c>
      <c r="AV191" s="30" t="s">
        <v>245</v>
      </c>
      <c r="AW191" s="30">
        <v>2010</v>
      </c>
      <c r="AX191" s="30">
        <v>41</v>
      </c>
      <c r="AY191" s="30">
        <v>14</v>
      </c>
      <c r="AZ191" s="30" t="s">
        <v>245</v>
      </c>
      <c r="BA191" s="30" t="s">
        <v>245</v>
      </c>
      <c r="BB191" s="30" t="s">
        <v>245</v>
      </c>
      <c r="BC191" s="30" t="s">
        <v>245</v>
      </c>
      <c r="BD191" s="30">
        <v>1769</v>
      </c>
      <c r="BE191" s="30">
        <v>1778</v>
      </c>
      <c r="BF191" s="30" t="s">
        <v>245</v>
      </c>
      <c r="BG191" s="30" t="s">
        <v>1758</v>
      </c>
      <c r="BH191" s="30" t="str">
        <f>HYPERLINK("http://dx.doi.org/10.1080/00103624.2010.489139","http://dx.doi.org/10.1080/00103624.2010.489139")</f>
        <v>http://dx.doi.org/10.1080/00103624.2010.489139</v>
      </c>
      <c r="BI191" s="30" t="s">
        <v>245</v>
      </c>
      <c r="BJ191" s="30" t="s">
        <v>245</v>
      </c>
      <c r="BK191" s="30" t="s">
        <v>245</v>
      </c>
      <c r="BL191" s="30" t="s">
        <v>245</v>
      </c>
      <c r="BM191" s="30" t="s">
        <v>245</v>
      </c>
      <c r="BN191" s="30" t="s">
        <v>245</v>
      </c>
      <c r="BO191" s="30" t="s">
        <v>245</v>
      </c>
      <c r="BP191" s="30" t="s">
        <v>245</v>
      </c>
      <c r="BQ191" s="30" t="s">
        <v>245</v>
      </c>
      <c r="BR191" s="30" t="s">
        <v>245</v>
      </c>
      <c r="BS191" s="30" t="s">
        <v>245</v>
      </c>
      <c r="BT191" s="30" t="s">
        <v>245</v>
      </c>
      <c r="BU191" s="30" t="s">
        <v>1759</v>
      </c>
      <c r="BV191" s="30" t="str">
        <f>HYPERLINK("https%3A%2F%2Fwww.webofscience.com%2Fwos%2Fwoscc%2Ffull-record%2FWOS:000280378100009","View Full Record in Web of Science")</f>
        <v>View Full Record in Web of Science</v>
      </c>
    </row>
    <row r="192" spans="1:74" x14ac:dyDescent="0.2">
      <c r="A192" s="30" t="s">
        <v>243</v>
      </c>
      <c r="B192" s="30" t="s">
        <v>1760</v>
      </c>
      <c r="C192" s="30" t="s">
        <v>245</v>
      </c>
      <c r="D192" s="30" t="s">
        <v>245</v>
      </c>
      <c r="E192" s="30" t="s">
        <v>245</v>
      </c>
      <c r="F192" s="30" t="s">
        <v>1761</v>
      </c>
      <c r="G192" s="30" t="s">
        <v>245</v>
      </c>
      <c r="H192" s="30" t="s">
        <v>245</v>
      </c>
      <c r="J192" s="30" t="s">
        <v>2825</v>
      </c>
      <c r="K192" s="30" t="s">
        <v>1762</v>
      </c>
      <c r="L192" s="30" t="s">
        <v>1549</v>
      </c>
      <c r="M192" s="30" t="s">
        <v>245</v>
      </c>
      <c r="N192" s="30" t="s">
        <v>245</v>
      </c>
      <c r="O192" s="30" t="s">
        <v>245</v>
      </c>
      <c r="P192" s="30" t="s">
        <v>245</v>
      </c>
      <c r="Q192" s="30" t="s">
        <v>245</v>
      </c>
      <c r="R192" s="30" t="s">
        <v>245</v>
      </c>
      <c r="S192" s="30" t="s">
        <v>245</v>
      </c>
      <c r="T192" s="30" t="s">
        <v>245</v>
      </c>
      <c r="U192" s="30" t="s">
        <v>245</v>
      </c>
      <c r="V192" s="30" t="s">
        <v>245</v>
      </c>
      <c r="W192" s="30" t="s">
        <v>245</v>
      </c>
      <c r="X192" s="30" t="s">
        <v>245</v>
      </c>
      <c r="Y192" s="30" t="s">
        <v>245</v>
      </c>
      <c r="Z192" s="30" t="s">
        <v>245</v>
      </c>
      <c r="AA192" s="30" t="s">
        <v>245</v>
      </c>
      <c r="AB192" s="30" t="s">
        <v>245</v>
      </c>
      <c r="AC192" s="30" t="s">
        <v>1763</v>
      </c>
      <c r="AD192" s="30" t="s">
        <v>1764</v>
      </c>
      <c r="AE192" s="30" t="s">
        <v>245</v>
      </c>
      <c r="AF192" s="30" t="s">
        <v>245</v>
      </c>
      <c r="AG192" s="30" t="s">
        <v>245</v>
      </c>
      <c r="AH192" s="30" t="s">
        <v>245</v>
      </c>
      <c r="AI192" s="30" t="s">
        <v>245</v>
      </c>
      <c r="AJ192" s="30" t="s">
        <v>245</v>
      </c>
      <c r="AK192" s="30" t="s">
        <v>245</v>
      </c>
      <c r="AL192" s="30" t="s">
        <v>245</v>
      </c>
      <c r="AM192" s="30" t="s">
        <v>245</v>
      </c>
      <c r="AN192" s="30" t="s">
        <v>245</v>
      </c>
      <c r="AO192" s="30" t="s">
        <v>245</v>
      </c>
      <c r="AP192" s="30" t="s">
        <v>245</v>
      </c>
      <c r="AQ192" s="30" t="s">
        <v>1551</v>
      </c>
      <c r="AR192" s="30" t="s">
        <v>1552</v>
      </c>
      <c r="AS192" s="30" t="s">
        <v>245</v>
      </c>
      <c r="AT192" s="30" t="s">
        <v>245</v>
      </c>
      <c r="AU192" s="30" t="s">
        <v>245</v>
      </c>
      <c r="AV192" s="30" t="s">
        <v>550</v>
      </c>
      <c r="AW192" s="30">
        <v>2018</v>
      </c>
      <c r="AX192" s="30">
        <v>242</v>
      </c>
      <c r="AY192" s="30" t="s">
        <v>245</v>
      </c>
      <c r="AZ192" s="30" t="s">
        <v>1695</v>
      </c>
      <c r="BA192" s="30" t="s">
        <v>245</v>
      </c>
      <c r="BB192" s="30" t="s">
        <v>245</v>
      </c>
      <c r="BC192" s="30" t="s">
        <v>245</v>
      </c>
      <c r="BD192" s="30">
        <v>2005</v>
      </c>
      <c r="BE192" s="30">
        <v>2013</v>
      </c>
      <c r="BF192" s="30" t="s">
        <v>245</v>
      </c>
      <c r="BG192" s="30" t="s">
        <v>1765</v>
      </c>
      <c r="BH192" s="30" t="str">
        <f>HYPERLINK("http://dx.doi.org/10.1016/j.envpol.2018.07.028","http://dx.doi.org/10.1016/j.envpol.2018.07.028")</f>
        <v>http://dx.doi.org/10.1016/j.envpol.2018.07.028</v>
      </c>
      <c r="BI192" s="30" t="s">
        <v>245</v>
      </c>
      <c r="BJ192" s="30" t="s">
        <v>245</v>
      </c>
      <c r="BK192" s="30" t="s">
        <v>245</v>
      </c>
      <c r="BL192" s="30" t="s">
        <v>245</v>
      </c>
      <c r="BM192" s="30" t="s">
        <v>245</v>
      </c>
      <c r="BN192" s="30" t="s">
        <v>245</v>
      </c>
      <c r="BO192" s="30" t="s">
        <v>245</v>
      </c>
      <c r="BP192" s="30">
        <v>30061078</v>
      </c>
      <c r="BQ192" s="30" t="s">
        <v>245</v>
      </c>
      <c r="BR192" s="30" t="s">
        <v>245</v>
      </c>
      <c r="BS192" s="30" t="s">
        <v>245</v>
      </c>
      <c r="BT192" s="30" t="s">
        <v>245</v>
      </c>
      <c r="BU192" s="30" t="s">
        <v>1766</v>
      </c>
      <c r="BV192" s="30" t="str">
        <f>HYPERLINK("https%3A%2F%2Fwww.webofscience.com%2Fwos%2Fwoscc%2Ffull-record%2FWOS:000446282600104","View Full Record in Web of Science")</f>
        <v>View Full Record in Web of Science</v>
      </c>
    </row>
    <row r="193" spans="1:74" x14ac:dyDescent="0.2">
      <c r="A193" s="30" t="s">
        <v>243</v>
      </c>
      <c r="B193" s="30" t="s">
        <v>1767</v>
      </c>
      <c r="C193" s="30" t="s">
        <v>245</v>
      </c>
      <c r="D193" s="30" t="s">
        <v>245</v>
      </c>
      <c r="E193" s="30" t="s">
        <v>245</v>
      </c>
      <c r="F193" s="30" t="s">
        <v>1768</v>
      </c>
      <c r="G193" s="30" t="s">
        <v>245</v>
      </c>
      <c r="H193" s="30" t="s">
        <v>245</v>
      </c>
      <c r="I193" s="30" t="s">
        <v>2821</v>
      </c>
      <c r="K193" s="30" t="s">
        <v>1769</v>
      </c>
      <c r="L193" s="30" t="s">
        <v>413</v>
      </c>
      <c r="M193" s="30" t="s">
        <v>245</v>
      </c>
      <c r="N193" s="30" t="s">
        <v>245</v>
      </c>
      <c r="O193" s="30" t="s">
        <v>245</v>
      </c>
      <c r="P193" s="30" t="s">
        <v>245</v>
      </c>
      <c r="Q193" s="30" t="s">
        <v>245</v>
      </c>
      <c r="R193" s="30" t="s">
        <v>245</v>
      </c>
      <c r="S193" s="30" t="s">
        <v>245</v>
      </c>
      <c r="T193" s="30" t="s">
        <v>245</v>
      </c>
      <c r="U193" s="30" t="s">
        <v>245</v>
      </c>
      <c r="V193" s="30" t="s">
        <v>245</v>
      </c>
      <c r="W193" s="30" t="s">
        <v>245</v>
      </c>
      <c r="X193" s="30" t="s">
        <v>245</v>
      </c>
      <c r="Y193" s="30" t="s">
        <v>245</v>
      </c>
      <c r="Z193" s="30" t="s">
        <v>245</v>
      </c>
      <c r="AA193" s="30" t="s">
        <v>245</v>
      </c>
      <c r="AB193" s="30" t="s">
        <v>245</v>
      </c>
      <c r="AC193" s="30" t="s">
        <v>1770</v>
      </c>
      <c r="AD193" s="30" t="s">
        <v>1771</v>
      </c>
      <c r="AE193" s="30" t="s">
        <v>245</v>
      </c>
      <c r="AF193" s="30" t="s">
        <v>245</v>
      </c>
      <c r="AG193" s="30" t="s">
        <v>245</v>
      </c>
      <c r="AH193" s="30" t="s">
        <v>245</v>
      </c>
      <c r="AI193" s="30" t="s">
        <v>245</v>
      </c>
      <c r="AJ193" s="30" t="s">
        <v>245</v>
      </c>
      <c r="AK193" s="30" t="s">
        <v>245</v>
      </c>
      <c r="AL193" s="30" t="s">
        <v>245</v>
      </c>
      <c r="AM193" s="30" t="s">
        <v>245</v>
      </c>
      <c r="AN193" s="30" t="s">
        <v>245</v>
      </c>
      <c r="AO193" s="30" t="s">
        <v>245</v>
      </c>
      <c r="AP193" s="30" t="s">
        <v>245</v>
      </c>
      <c r="AQ193" s="30" t="s">
        <v>416</v>
      </c>
      <c r="AR193" s="30" t="s">
        <v>417</v>
      </c>
      <c r="AS193" s="30" t="s">
        <v>245</v>
      </c>
      <c r="AT193" s="30" t="s">
        <v>245</v>
      </c>
      <c r="AU193" s="30" t="s">
        <v>245</v>
      </c>
      <c r="AV193" s="30" t="s">
        <v>1772</v>
      </c>
      <c r="AW193" s="30">
        <v>2021</v>
      </c>
      <c r="AX193" s="30">
        <v>781</v>
      </c>
      <c r="AY193" s="30" t="s">
        <v>245</v>
      </c>
      <c r="AZ193" s="30" t="s">
        <v>245</v>
      </c>
      <c r="BA193" s="30" t="s">
        <v>245</v>
      </c>
      <c r="BB193" s="30" t="s">
        <v>245</v>
      </c>
      <c r="BC193" s="30" t="s">
        <v>245</v>
      </c>
      <c r="BD193" s="30" t="s">
        <v>245</v>
      </c>
      <c r="BE193" s="30" t="s">
        <v>245</v>
      </c>
      <c r="BF193" s="30">
        <v>146746</v>
      </c>
      <c r="BG193" s="30" t="s">
        <v>1773</v>
      </c>
      <c r="BH193" s="30" t="str">
        <f>HYPERLINK("http://dx.doi.org/10.1016/j.scitotenv.2021.146746","http://dx.doi.org/10.1016/j.scitotenv.2021.146746")</f>
        <v>http://dx.doi.org/10.1016/j.scitotenv.2021.146746</v>
      </c>
      <c r="BI193" s="30" t="s">
        <v>245</v>
      </c>
      <c r="BJ193" s="30" t="s">
        <v>524</v>
      </c>
      <c r="BK193" s="30" t="s">
        <v>245</v>
      </c>
      <c r="BL193" s="30" t="s">
        <v>245</v>
      </c>
      <c r="BM193" s="30" t="s">
        <v>245</v>
      </c>
      <c r="BN193" s="30" t="s">
        <v>245</v>
      </c>
      <c r="BO193" s="30" t="s">
        <v>245</v>
      </c>
      <c r="BP193" s="30">
        <v>33798878</v>
      </c>
      <c r="BQ193" s="30" t="s">
        <v>245</v>
      </c>
      <c r="BR193" s="30" t="s">
        <v>245</v>
      </c>
      <c r="BS193" s="30" t="s">
        <v>245</v>
      </c>
      <c r="BT193" s="30" t="s">
        <v>245</v>
      </c>
      <c r="BU193" s="30" t="s">
        <v>1774</v>
      </c>
      <c r="BV193" s="30" t="str">
        <f>HYPERLINK("https%3A%2F%2Fwww.webofscience.com%2Fwos%2Fwoscc%2Ffull-record%2FWOS:000655618600009","View Full Record in Web of Science")</f>
        <v>View Full Record in Web of Science</v>
      </c>
    </row>
    <row r="194" spans="1:74" x14ac:dyDescent="0.2">
      <c r="A194" s="30" t="s">
        <v>243</v>
      </c>
      <c r="B194" s="30" t="s">
        <v>1775</v>
      </c>
      <c r="C194" s="30" t="s">
        <v>245</v>
      </c>
      <c r="D194" s="30" t="s">
        <v>245</v>
      </c>
      <c r="E194" s="30" t="s">
        <v>245</v>
      </c>
      <c r="F194" s="30" t="s">
        <v>1776</v>
      </c>
      <c r="G194" s="30" t="s">
        <v>245</v>
      </c>
      <c r="H194" s="30" t="s">
        <v>245</v>
      </c>
      <c r="K194" s="30" t="s">
        <v>105</v>
      </c>
      <c r="L194" s="30" t="s">
        <v>469</v>
      </c>
      <c r="M194" s="30" t="s">
        <v>245</v>
      </c>
      <c r="N194" s="30" t="s">
        <v>245</v>
      </c>
      <c r="O194" s="30" t="s">
        <v>245</v>
      </c>
      <c r="P194" s="30" t="s">
        <v>245</v>
      </c>
      <c r="Q194" s="30" t="s">
        <v>245</v>
      </c>
      <c r="R194" s="30" t="s">
        <v>245</v>
      </c>
      <c r="S194" s="30" t="s">
        <v>245</v>
      </c>
      <c r="T194" s="30" t="s">
        <v>245</v>
      </c>
      <c r="U194" s="30" t="s">
        <v>245</v>
      </c>
      <c r="V194" s="30" t="s">
        <v>245</v>
      </c>
      <c r="W194" s="30" t="s">
        <v>245</v>
      </c>
      <c r="X194" s="30" t="s">
        <v>245</v>
      </c>
      <c r="Y194" s="30" t="s">
        <v>245</v>
      </c>
      <c r="Z194" s="30" t="s">
        <v>245</v>
      </c>
      <c r="AA194" s="30" t="s">
        <v>245</v>
      </c>
      <c r="AB194" s="30" t="s">
        <v>245</v>
      </c>
      <c r="AC194" s="30" t="s">
        <v>1777</v>
      </c>
      <c r="AD194" s="30" t="s">
        <v>1778</v>
      </c>
      <c r="AE194" s="30" t="s">
        <v>245</v>
      </c>
      <c r="AF194" s="30" t="s">
        <v>245</v>
      </c>
      <c r="AG194" s="30" t="s">
        <v>245</v>
      </c>
      <c r="AH194" s="30" t="s">
        <v>245</v>
      </c>
      <c r="AI194" s="30" t="s">
        <v>245</v>
      </c>
      <c r="AJ194" s="30" t="s">
        <v>245</v>
      </c>
      <c r="AK194" s="30" t="s">
        <v>245</v>
      </c>
      <c r="AL194" s="30" t="s">
        <v>245</v>
      </c>
      <c r="AM194" s="30" t="s">
        <v>245</v>
      </c>
      <c r="AN194" s="30" t="s">
        <v>245</v>
      </c>
      <c r="AO194" s="30" t="s">
        <v>245</v>
      </c>
      <c r="AP194" s="30" t="s">
        <v>245</v>
      </c>
      <c r="AQ194" s="30" t="s">
        <v>472</v>
      </c>
      <c r="AR194" s="30" t="s">
        <v>473</v>
      </c>
      <c r="AS194" s="30" t="s">
        <v>245</v>
      </c>
      <c r="AT194" s="30" t="s">
        <v>245</v>
      </c>
      <c r="AU194" s="30" t="s">
        <v>245</v>
      </c>
      <c r="AV194" s="30" t="s">
        <v>395</v>
      </c>
      <c r="AW194" s="30">
        <v>2022</v>
      </c>
      <c r="AX194" s="30">
        <v>421</v>
      </c>
      <c r="AY194" s="30" t="s">
        <v>245</v>
      </c>
      <c r="AZ194" s="30" t="s">
        <v>245</v>
      </c>
      <c r="BA194" s="30" t="s">
        <v>245</v>
      </c>
      <c r="BB194" s="30" t="s">
        <v>245</v>
      </c>
      <c r="BC194" s="30" t="s">
        <v>245</v>
      </c>
      <c r="BD194" s="30" t="s">
        <v>245</v>
      </c>
      <c r="BE194" s="30" t="s">
        <v>245</v>
      </c>
      <c r="BF194" s="30" t="s">
        <v>245</v>
      </c>
      <c r="BG194" s="30" t="s">
        <v>1779</v>
      </c>
      <c r="BH194" s="30" t="str">
        <f>HYPERLINK("http://dx.doi.org/10.1016/j.geoderma.2022.115909","http://dx.doi.org/10.1016/j.geoderma.2022.115909")</f>
        <v>http://dx.doi.org/10.1016/j.geoderma.2022.115909</v>
      </c>
      <c r="BI194" s="30" t="s">
        <v>245</v>
      </c>
      <c r="BJ194" s="30" t="s">
        <v>245</v>
      </c>
      <c r="BK194" s="30" t="s">
        <v>245</v>
      </c>
      <c r="BL194" s="30" t="s">
        <v>245</v>
      </c>
      <c r="BM194" s="30" t="s">
        <v>245</v>
      </c>
      <c r="BN194" s="30" t="s">
        <v>245</v>
      </c>
      <c r="BO194" s="30" t="s">
        <v>245</v>
      </c>
      <c r="BP194" s="30" t="s">
        <v>245</v>
      </c>
      <c r="BQ194" s="30" t="s">
        <v>245</v>
      </c>
      <c r="BR194" s="30" t="s">
        <v>245</v>
      </c>
      <c r="BS194" s="30" t="s">
        <v>245</v>
      </c>
      <c r="BT194" s="30" t="s">
        <v>245</v>
      </c>
      <c r="BU194" s="30" t="s">
        <v>1780</v>
      </c>
      <c r="BV194" s="30" t="str">
        <f>HYPERLINK("https%3A%2F%2Fwww.webofscience.com%2Fwos%2Fwoscc%2Ffull-record%2FWOS:000893964200003","View Full Record in Web of Science")</f>
        <v>View Full Record in Web of Science</v>
      </c>
    </row>
    <row r="195" spans="1:74" x14ac:dyDescent="0.2">
      <c r="A195" s="30" t="s">
        <v>243</v>
      </c>
      <c r="B195" s="30" t="s">
        <v>1781</v>
      </c>
      <c r="C195" s="30" t="s">
        <v>245</v>
      </c>
      <c r="D195" s="30" t="s">
        <v>245</v>
      </c>
      <c r="E195" s="30" t="s">
        <v>245</v>
      </c>
      <c r="F195" s="30" t="s">
        <v>1782</v>
      </c>
      <c r="G195" s="30" t="s">
        <v>245</v>
      </c>
      <c r="H195" s="30" t="s">
        <v>245</v>
      </c>
      <c r="I195" s="30" t="s">
        <v>2821</v>
      </c>
      <c r="K195" s="30" t="s">
        <v>1783</v>
      </c>
      <c r="L195" s="30" t="s">
        <v>1646</v>
      </c>
      <c r="M195" s="30" t="s">
        <v>245</v>
      </c>
      <c r="N195" s="30" t="s">
        <v>245</v>
      </c>
      <c r="O195" s="30" t="s">
        <v>245</v>
      </c>
      <c r="P195" s="30" t="s">
        <v>245</v>
      </c>
      <c r="Q195" s="30" t="s">
        <v>245</v>
      </c>
      <c r="R195" s="30" t="s">
        <v>245</v>
      </c>
      <c r="S195" s="30" t="s">
        <v>245</v>
      </c>
      <c r="T195" s="30" t="s">
        <v>245</v>
      </c>
      <c r="U195" s="30" t="s">
        <v>245</v>
      </c>
      <c r="V195" s="30" t="s">
        <v>245</v>
      </c>
      <c r="W195" s="30" t="s">
        <v>245</v>
      </c>
      <c r="X195" s="30" t="s">
        <v>245</v>
      </c>
      <c r="Y195" s="30" t="s">
        <v>245</v>
      </c>
      <c r="Z195" s="30" t="s">
        <v>245</v>
      </c>
      <c r="AA195" s="30" t="s">
        <v>245</v>
      </c>
      <c r="AB195" s="30" t="s">
        <v>245</v>
      </c>
      <c r="AC195" s="30" t="s">
        <v>1784</v>
      </c>
      <c r="AD195" s="30" t="s">
        <v>1785</v>
      </c>
      <c r="AE195" s="30" t="s">
        <v>245</v>
      </c>
      <c r="AF195" s="30" t="s">
        <v>245</v>
      </c>
      <c r="AG195" s="30" t="s">
        <v>245</v>
      </c>
      <c r="AH195" s="30" t="s">
        <v>245</v>
      </c>
      <c r="AI195" s="30" t="s">
        <v>245</v>
      </c>
      <c r="AJ195" s="30" t="s">
        <v>245</v>
      </c>
      <c r="AK195" s="30" t="s">
        <v>245</v>
      </c>
      <c r="AL195" s="30" t="s">
        <v>245</v>
      </c>
      <c r="AM195" s="30" t="s">
        <v>245</v>
      </c>
      <c r="AN195" s="30" t="s">
        <v>245</v>
      </c>
      <c r="AO195" s="30" t="s">
        <v>245</v>
      </c>
      <c r="AP195" s="30" t="s">
        <v>245</v>
      </c>
      <c r="AQ195" s="30" t="s">
        <v>1649</v>
      </c>
      <c r="AR195" s="30" t="s">
        <v>245</v>
      </c>
      <c r="AS195" s="30" t="s">
        <v>245</v>
      </c>
      <c r="AT195" s="30" t="s">
        <v>245</v>
      </c>
      <c r="AU195" s="30" t="s">
        <v>245</v>
      </c>
      <c r="AV195" s="30" t="s">
        <v>1786</v>
      </c>
      <c r="AW195" s="30">
        <v>2016</v>
      </c>
      <c r="AX195" s="30">
        <v>73</v>
      </c>
      <c r="AY195" s="30">
        <v>1</v>
      </c>
      <c r="AZ195" s="30" t="s">
        <v>245</v>
      </c>
      <c r="BA195" s="30" t="s">
        <v>245</v>
      </c>
      <c r="BB195" s="30" t="s">
        <v>245</v>
      </c>
      <c r="BC195" s="30" t="s">
        <v>245</v>
      </c>
      <c r="BD195" s="30">
        <v>34</v>
      </c>
      <c r="BE195" s="30">
        <v>42</v>
      </c>
      <c r="BF195" s="30" t="s">
        <v>245</v>
      </c>
      <c r="BG195" s="30" t="s">
        <v>1787</v>
      </c>
      <c r="BH195" s="30" t="str">
        <f>HYPERLINK("http://dx.doi.org/10.1590/0103-9016-2015-0093","http://dx.doi.org/10.1590/0103-9016-2015-0093")</f>
        <v>http://dx.doi.org/10.1590/0103-9016-2015-0093</v>
      </c>
      <c r="BI195" s="30" t="s">
        <v>245</v>
      </c>
      <c r="BJ195" s="30" t="s">
        <v>245</v>
      </c>
      <c r="BK195" s="30" t="s">
        <v>245</v>
      </c>
      <c r="BL195" s="30" t="s">
        <v>245</v>
      </c>
      <c r="BM195" s="30" t="s">
        <v>245</v>
      </c>
      <c r="BN195" s="30" t="s">
        <v>245</v>
      </c>
      <c r="BO195" s="30" t="s">
        <v>245</v>
      </c>
      <c r="BP195" s="30" t="s">
        <v>245</v>
      </c>
      <c r="BQ195" s="30" t="s">
        <v>245</v>
      </c>
      <c r="BR195" s="30" t="s">
        <v>245</v>
      </c>
      <c r="BS195" s="30" t="s">
        <v>245</v>
      </c>
      <c r="BT195" s="30" t="s">
        <v>245</v>
      </c>
      <c r="BU195" s="30" t="s">
        <v>1788</v>
      </c>
      <c r="BV195" s="30" t="str">
        <f>HYPERLINK("https%3A%2F%2Fwww.webofscience.com%2Fwos%2Fwoscc%2Ffull-record%2FWOS:000367158900006","View Full Record in Web of Science")</f>
        <v>View Full Record in Web of Science</v>
      </c>
    </row>
    <row r="196" spans="1:74" x14ac:dyDescent="0.2">
      <c r="A196" s="30" t="s">
        <v>243</v>
      </c>
      <c r="B196" s="30" t="s">
        <v>1789</v>
      </c>
      <c r="C196" s="30" t="s">
        <v>245</v>
      </c>
      <c r="D196" s="30" t="s">
        <v>245</v>
      </c>
      <c r="E196" s="30" t="s">
        <v>245</v>
      </c>
      <c r="F196" s="30" t="s">
        <v>1790</v>
      </c>
      <c r="G196" s="30" t="s">
        <v>245</v>
      </c>
      <c r="H196" s="30" t="s">
        <v>245</v>
      </c>
      <c r="J196" s="30" t="s">
        <v>2834</v>
      </c>
      <c r="K196" s="30" t="s">
        <v>1791</v>
      </c>
      <c r="L196" s="30" t="s">
        <v>402</v>
      </c>
      <c r="M196" s="30" t="s">
        <v>245</v>
      </c>
      <c r="N196" s="30" t="s">
        <v>245</v>
      </c>
      <c r="O196" s="30" t="s">
        <v>245</v>
      </c>
      <c r="P196" s="30" t="s">
        <v>245</v>
      </c>
      <c r="Q196" s="30" t="s">
        <v>245</v>
      </c>
      <c r="R196" s="30" t="s">
        <v>245</v>
      </c>
      <c r="S196" s="30" t="s">
        <v>245</v>
      </c>
      <c r="T196" s="30" t="s">
        <v>245</v>
      </c>
      <c r="U196" s="30" t="s">
        <v>245</v>
      </c>
      <c r="V196" s="30" t="s">
        <v>245</v>
      </c>
      <c r="W196" s="30" t="s">
        <v>245</v>
      </c>
      <c r="X196" s="30" t="s">
        <v>245</v>
      </c>
      <c r="Y196" s="30" t="s">
        <v>245</v>
      </c>
      <c r="Z196" s="30" t="s">
        <v>245</v>
      </c>
      <c r="AA196" s="30" t="s">
        <v>245</v>
      </c>
      <c r="AB196" s="30" t="s">
        <v>245</v>
      </c>
      <c r="AC196" s="30" t="s">
        <v>1792</v>
      </c>
      <c r="AD196" s="30" t="s">
        <v>245</v>
      </c>
      <c r="AE196" s="30" t="s">
        <v>245</v>
      </c>
      <c r="AF196" s="30" t="s">
        <v>245</v>
      </c>
      <c r="AG196" s="30" t="s">
        <v>245</v>
      </c>
      <c r="AH196" s="30" t="s">
        <v>245</v>
      </c>
      <c r="AI196" s="30" t="s">
        <v>245</v>
      </c>
      <c r="AJ196" s="30" t="s">
        <v>245</v>
      </c>
      <c r="AK196" s="30" t="s">
        <v>245</v>
      </c>
      <c r="AL196" s="30" t="s">
        <v>245</v>
      </c>
      <c r="AM196" s="30" t="s">
        <v>245</v>
      </c>
      <c r="AN196" s="30" t="s">
        <v>245</v>
      </c>
      <c r="AO196" s="30" t="s">
        <v>245</v>
      </c>
      <c r="AP196" s="30" t="s">
        <v>245</v>
      </c>
      <c r="AQ196" s="30" t="s">
        <v>405</v>
      </c>
      <c r="AR196" s="30" t="s">
        <v>406</v>
      </c>
      <c r="AS196" s="30" t="s">
        <v>245</v>
      </c>
      <c r="AT196" s="30" t="s">
        <v>245</v>
      </c>
      <c r="AU196" s="30" t="s">
        <v>245</v>
      </c>
      <c r="AV196" s="30" t="s">
        <v>487</v>
      </c>
      <c r="AW196" s="30">
        <v>2022</v>
      </c>
      <c r="AX196" s="30">
        <v>22</v>
      </c>
      <c r="AY196" s="30">
        <v>3</v>
      </c>
      <c r="AZ196" s="30" t="s">
        <v>245</v>
      </c>
      <c r="BA196" s="30" t="s">
        <v>245</v>
      </c>
      <c r="BB196" s="30" t="s">
        <v>245</v>
      </c>
      <c r="BC196" s="30" t="s">
        <v>245</v>
      </c>
      <c r="BD196" s="30">
        <v>831</v>
      </c>
      <c r="BE196" s="30">
        <v>843</v>
      </c>
      <c r="BF196" s="30" t="s">
        <v>245</v>
      </c>
      <c r="BG196" s="30" t="s">
        <v>1793</v>
      </c>
      <c r="BH196" s="30" t="str">
        <f>HYPERLINK("http://dx.doi.org/10.1007/s11368-021-03118-3","http://dx.doi.org/10.1007/s11368-021-03118-3")</f>
        <v>http://dx.doi.org/10.1007/s11368-021-03118-3</v>
      </c>
      <c r="BI196" s="30" t="s">
        <v>245</v>
      </c>
      <c r="BJ196" s="30" t="s">
        <v>1314</v>
      </c>
      <c r="BK196" s="30" t="s">
        <v>245</v>
      </c>
      <c r="BL196" s="30" t="s">
        <v>245</v>
      </c>
      <c r="BM196" s="30" t="s">
        <v>245</v>
      </c>
      <c r="BN196" s="30" t="s">
        <v>245</v>
      </c>
      <c r="BO196" s="30" t="s">
        <v>245</v>
      </c>
      <c r="BP196" s="30" t="s">
        <v>245</v>
      </c>
      <c r="BQ196" s="30" t="s">
        <v>245</v>
      </c>
      <c r="BR196" s="30" t="s">
        <v>245</v>
      </c>
      <c r="BS196" s="30" t="s">
        <v>245</v>
      </c>
      <c r="BT196" s="30" t="s">
        <v>245</v>
      </c>
      <c r="BU196" s="30" t="s">
        <v>1794</v>
      </c>
      <c r="BV196" s="30" t="str">
        <f>HYPERLINK("https%3A%2F%2Fwww.webofscience.com%2Fwos%2Fwoscc%2Ffull-record%2FWOS:000736930800001","View Full Record in Web of Science")</f>
        <v>View Full Record in Web of Science</v>
      </c>
    </row>
    <row r="197" spans="1:74" x14ac:dyDescent="0.2">
      <c r="A197" s="30" t="s">
        <v>243</v>
      </c>
      <c r="B197" s="30" t="s">
        <v>1795</v>
      </c>
      <c r="C197" s="30" t="s">
        <v>245</v>
      </c>
      <c r="D197" s="30" t="s">
        <v>245</v>
      </c>
      <c r="E197" s="30" t="s">
        <v>245</v>
      </c>
      <c r="F197" s="30" t="s">
        <v>1796</v>
      </c>
      <c r="G197" s="30" t="s">
        <v>245</v>
      </c>
      <c r="H197" s="30" t="s">
        <v>245</v>
      </c>
      <c r="I197" s="30" t="s">
        <v>2826</v>
      </c>
      <c r="K197" s="30" t="s">
        <v>1797</v>
      </c>
      <c r="L197" s="30" t="s">
        <v>1352</v>
      </c>
      <c r="M197" s="30" t="s">
        <v>245</v>
      </c>
      <c r="N197" s="30" t="s">
        <v>245</v>
      </c>
      <c r="O197" s="30" t="s">
        <v>245</v>
      </c>
      <c r="P197" s="30" t="s">
        <v>245</v>
      </c>
      <c r="Q197" s="30" t="s">
        <v>245</v>
      </c>
      <c r="R197" s="30" t="s">
        <v>245</v>
      </c>
      <c r="S197" s="30" t="s">
        <v>245</v>
      </c>
      <c r="T197" s="30" t="s">
        <v>245</v>
      </c>
      <c r="U197" s="30" t="s">
        <v>245</v>
      </c>
      <c r="V197" s="30" t="s">
        <v>245</v>
      </c>
      <c r="W197" s="30" t="s">
        <v>245</v>
      </c>
      <c r="X197" s="30" t="s">
        <v>245</v>
      </c>
      <c r="Y197" s="30" t="s">
        <v>245</v>
      </c>
      <c r="Z197" s="30" t="s">
        <v>245</v>
      </c>
      <c r="AA197" s="30" t="s">
        <v>245</v>
      </c>
      <c r="AB197" s="30" t="s">
        <v>245</v>
      </c>
      <c r="AC197" s="30" t="s">
        <v>245</v>
      </c>
      <c r="AD197" s="30" t="s">
        <v>1798</v>
      </c>
      <c r="AE197" s="30" t="s">
        <v>245</v>
      </c>
      <c r="AF197" s="30" t="s">
        <v>245</v>
      </c>
      <c r="AG197" s="30" t="s">
        <v>245</v>
      </c>
      <c r="AH197" s="30" t="s">
        <v>245</v>
      </c>
      <c r="AI197" s="30" t="s">
        <v>245</v>
      </c>
      <c r="AJ197" s="30" t="s">
        <v>245</v>
      </c>
      <c r="AK197" s="30" t="s">
        <v>245</v>
      </c>
      <c r="AL197" s="30" t="s">
        <v>245</v>
      </c>
      <c r="AM197" s="30" t="s">
        <v>245</v>
      </c>
      <c r="AN197" s="30" t="s">
        <v>245</v>
      </c>
      <c r="AO197" s="30" t="s">
        <v>245</v>
      </c>
      <c r="AP197" s="30" t="s">
        <v>245</v>
      </c>
      <c r="AQ197" s="30" t="s">
        <v>1355</v>
      </c>
      <c r="AR197" s="30" t="s">
        <v>1356</v>
      </c>
      <c r="AS197" s="30" t="s">
        <v>245</v>
      </c>
      <c r="AT197" s="30" t="s">
        <v>245</v>
      </c>
      <c r="AU197" s="30" t="s">
        <v>245</v>
      </c>
      <c r="AV197" s="30" t="s">
        <v>245</v>
      </c>
      <c r="AW197" s="30">
        <v>2007</v>
      </c>
      <c r="AX197" s="30">
        <v>19</v>
      </c>
      <c r="AY197" s="30">
        <v>7</v>
      </c>
      <c r="AZ197" s="30" t="s">
        <v>245</v>
      </c>
      <c r="BA197" s="30" t="s">
        <v>245</v>
      </c>
      <c r="BB197" s="30" t="s">
        <v>245</v>
      </c>
      <c r="BC197" s="30" t="s">
        <v>245</v>
      </c>
      <c r="BD197" s="30">
        <v>841</v>
      </c>
      <c r="BE197" s="30">
        <v>847</v>
      </c>
      <c r="BF197" s="30" t="s">
        <v>245</v>
      </c>
      <c r="BG197" s="30" t="s">
        <v>1799</v>
      </c>
      <c r="BH197" s="30" t="str">
        <f>HYPERLINK("http://dx.doi.org/10.1016/S1001-0742(07)60140-5","http://dx.doi.org/10.1016/S1001-0742(07)60140-5")</f>
        <v>http://dx.doi.org/10.1016/S1001-0742(07)60140-5</v>
      </c>
      <c r="BI197" s="30" t="s">
        <v>245</v>
      </c>
      <c r="BJ197" s="30" t="s">
        <v>245</v>
      </c>
      <c r="BK197" s="30" t="s">
        <v>245</v>
      </c>
      <c r="BL197" s="30" t="s">
        <v>245</v>
      </c>
      <c r="BM197" s="30" t="s">
        <v>245</v>
      </c>
      <c r="BN197" s="30" t="s">
        <v>245</v>
      </c>
      <c r="BO197" s="30" t="s">
        <v>245</v>
      </c>
      <c r="BP197" s="30">
        <v>17966872</v>
      </c>
      <c r="BQ197" s="30" t="s">
        <v>245</v>
      </c>
      <c r="BR197" s="30" t="s">
        <v>245</v>
      </c>
      <c r="BS197" s="30" t="s">
        <v>245</v>
      </c>
      <c r="BT197" s="30" t="s">
        <v>245</v>
      </c>
      <c r="BU197" s="30" t="s">
        <v>1800</v>
      </c>
      <c r="BV197" s="30" t="str">
        <f>HYPERLINK("https%3A%2F%2Fwww.webofscience.com%2Fwos%2Fwoscc%2Ffull-record%2FWOS:000248095400012","View Full Record in Web of Science")</f>
        <v>View Full Record in Web of Science</v>
      </c>
    </row>
    <row r="198" spans="1:74" x14ac:dyDescent="0.2">
      <c r="A198" s="30" t="s">
        <v>243</v>
      </c>
      <c r="B198" s="30" t="s">
        <v>1801</v>
      </c>
      <c r="C198" s="30" t="s">
        <v>245</v>
      </c>
      <c r="D198" s="30" t="s">
        <v>245</v>
      </c>
      <c r="E198" s="30" t="s">
        <v>245</v>
      </c>
      <c r="F198" s="30" t="s">
        <v>1802</v>
      </c>
      <c r="G198" s="30" t="s">
        <v>245</v>
      </c>
      <c r="H198" s="30" t="s">
        <v>245</v>
      </c>
      <c r="I198" s="30" t="s">
        <v>2826</v>
      </c>
      <c r="K198" s="30" t="s">
        <v>1803</v>
      </c>
      <c r="L198" s="30" t="s">
        <v>1804</v>
      </c>
      <c r="M198" s="30" t="s">
        <v>245</v>
      </c>
      <c r="N198" s="30" t="s">
        <v>245</v>
      </c>
      <c r="O198" s="30" t="s">
        <v>245</v>
      </c>
      <c r="P198" s="30" t="s">
        <v>245</v>
      </c>
      <c r="Q198" s="30" t="s">
        <v>245</v>
      </c>
      <c r="R198" s="30" t="s">
        <v>245</v>
      </c>
      <c r="S198" s="30" t="s">
        <v>245</v>
      </c>
      <c r="T198" s="30" t="s">
        <v>245</v>
      </c>
      <c r="U198" s="30" t="s">
        <v>245</v>
      </c>
      <c r="V198" s="30" t="s">
        <v>245</v>
      </c>
      <c r="W198" s="30" t="s">
        <v>245</v>
      </c>
      <c r="X198" s="30" t="s">
        <v>245</v>
      </c>
      <c r="Y198" s="30" t="s">
        <v>245</v>
      </c>
      <c r="Z198" s="30" t="s">
        <v>245</v>
      </c>
      <c r="AA198" s="30" t="s">
        <v>245</v>
      </c>
      <c r="AB198" s="30" t="s">
        <v>245</v>
      </c>
      <c r="AC198" s="30" t="s">
        <v>1805</v>
      </c>
      <c r="AD198" s="30" t="s">
        <v>1806</v>
      </c>
      <c r="AE198" s="30" t="s">
        <v>245</v>
      </c>
      <c r="AF198" s="30" t="s">
        <v>245</v>
      </c>
      <c r="AG198" s="30" t="s">
        <v>245</v>
      </c>
      <c r="AH198" s="30" t="s">
        <v>245</v>
      </c>
      <c r="AI198" s="30" t="s">
        <v>245</v>
      </c>
      <c r="AJ198" s="30" t="s">
        <v>245</v>
      </c>
      <c r="AK198" s="30" t="s">
        <v>245</v>
      </c>
      <c r="AL198" s="30" t="s">
        <v>245</v>
      </c>
      <c r="AM198" s="30" t="s">
        <v>245</v>
      </c>
      <c r="AN198" s="30" t="s">
        <v>245</v>
      </c>
      <c r="AO198" s="30" t="s">
        <v>245</v>
      </c>
      <c r="AP198" s="30" t="s">
        <v>245</v>
      </c>
      <c r="AQ198" s="30" t="s">
        <v>1807</v>
      </c>
      <c r="AR198" s="30" t="s">
        <v>245</v>
      </c>
      <c r="AS198" s="30" t="s">
        <v>245</v>
      </c>
      <c r="AT198" s="30" t="s">
        <v>245</v>
      </c>
      <c r="AU198" s="30" t="s">
        <v>245</v>
      </c>
      <c r="AV198" s="30" t="s">
        <v>1808</v>
      </c>
      <c r="AW198" s="30">
        <v>2024</v>
      </c>
      <c r="AX198" s="30">
        <v>9</v>
      </c>
      <c r="AY198" s="30">
        <v>1</v>
      </c>
      <c r="AZ198" s="30" t="s">
        <v>245</v>
      </c>
      <c r="BA198" s="30" t="s">
        <v>245</v>
      </c>
      <c r="BB198" s="30" t="s">
        <v>245</v>
      </c>
      <c r="BC198" s="30" t="s">
        <v>245</v>
      </c>
      <c r="BD198" s="30" t="s">
        <v>245</v>
      </c>
      <c r="BE198" s="30" t="s">
        <v>245</v>
      </c>
      <c r="BF198" s="30" t="s">
        <v>245</v>
      </c>
      <c r="BG198" s="30" t="s">
        <v>1809</v>
      </c>
      <c r="BH198" s="30" t="str">
        <f>HYPERLINK("http://dx.doi.org/10.1128/msystems.00936-23","http://dx.doi.org/10.1128/msystems.00936-23")</f>
        <v>http://dx.doi.org/10.1128/msystems.00936-23</v>
      </c>
      <c r="BI198" s="30" t="s">
        <v>245</v>
      </c>
      <c r="BJ198" s="30" t="s">
        <v>824</v>
      </c>
      <c r="BK198" s="30" t="s">
        <v>245</v>
      </c>
      <c r="BL198" s="30" t="s">
        <v>245</v>
      </c>
      <c r="BM198" s="30" t="s">
        <v>245</v>
      </c>
      <c r="BN198" s="30" t="s">
        <v>245</v>
      </c>
      <c r="BO198" s="30" t="s">
        <v>245</v>
      </c>
      <c r="BP198" s="30">
        <v>38170982</v>
      </c>
      <c r="BQ198" s="30" t="s">
        <v>245</v>
      </c>
      <c r="BR198" s="30" t="s">
        <v>245</v>
      </c>
      <c r="BS198" s="30" t="s">
        <v>245</v>
      </c>
      <c r="BT198" s="30" t="s">
        <v>245</v>
      </c>
      <c r="BU198" s="30" t="s">
        <v>1810</v>
      </c>
      <c r="BV198" s="30" t="str">
        <f>HYPERLINK("https%3A%2F%2Fwww.webofscience.com%2Fwos%2Fwoscc%2Ffull-record%2FWOS:001135894600001","View Full Record in Web of Science")</f>
        <v>View Full Record in Web of Science</v>
      </c>
    </row>
    <row r="199" spans="1:74" x14ac:dyDescent="0.2">
      <c r="A199" s="30" t="s">
        <v>243</v>
      </c>
      <c r="B199" s="30" t="s">
        <v>1811</v>
      </c>
      <c r="C199" s="30" t="s">
        <v>245</v>
      </c>
      <c r="D199" s="30" t="s">
        <v>245</v>
      </c>
      <c r="E199" s="30" t="s">
        <v>245</v>
      </c>
      <c r="F199" s="30" t="s">
        <v>1812</v>
      </c>
      <c r="G199" s="30" t="s">
        <v>245</v>
      </c>
      <c r="H199" s="30" t="s">
        <v>245</v>
      </c>
      <c r="I199" s="30" t="s">
        <v>2823</v>
      </c>
      <c r="K199" s="30" t="s">
        <v>1813</v>
      </c>
      <c r="L199" s="30" t="s">
        <v>1814</v>
      </c>
      <c r="M199" s="30" t="s">
        <v>245</v>
      </c>
      <c r="N199" s="30" t="s">
        <v>245</v>
      </c>
      <c r="O199" s="30" t="s">
        <v>245</v>
      </c>
      <c r="P199" s="30" t="s">
        <v>245</v>
      </c>
      <c r="Q199" s="30" t="s">
        <v>245</v>
      </c>
      <c r="R199" s="30" t="s">
        <v>245</v>
      </c>
      <c r="S199" s="30" t="s">
        <v>245</v>
      </c>
      <c r="T199" s="30" t="s">
        <v>245</v>
      </c>
      <c r="U199" s="30" t="s">
        <v>245</v>
      </c>
      <c r="V199" s="30" t="s">
        <v>245</v>
      </c>
      <c r="W199" s="30" t="s">
        <v>245</v>
      </c>
      <c r="X199" s="30" t="s">
        <v>245</v>
      </c>
      <c r="Y199" s="30" t="s">
        <v>245</v>
      </c>
      <c r="Z199" s="30" t="s">
        <v>245</v>
      </c>
      <c r="AA199" s="30" t="s">
        <v>245</v>
      </c>
      <c r="AB199" s="30" t="s">
        <v>245</v>
      </c>
      <c r="AC199" s="30" t="s">
        <v>1815</v>
      </c>
      <c r="AD199" s="30" t="s">
        <v>1816</v>
      </c>
      <c r="AE199" s="30" t="s">
        <v>245</v>
      </c>
      <c r="AF199" s="30" t="s">
        <v>245</v>
      </c>
      <c r="AG199" s="30" t="s">
        <v>245</v>
      </c>
      <c r="AH199" s="30" t="s">
        <v>245</v>
      </c>
      <c r="AI199" s="30" t="s">
        <v>245</v>
      </c>
      <c r="AJ199" s="30" t="s">
        <v>245</v>
      </c>
      <c r="AK199" s="30" t="s">
        <v>245</v>
      </c>
      <c r="AL199" s="30" t="s">
        <v>245</v>
      </c>
      <c r="AM199" s="30" t="s">
        <v>245</v>
      </c>
      <c r="AN199" s="30" t="s">
        <v>245</v>
      </c>
      <c r="AO199" s="30" t="s">
        <v>245</v>
      </c>
      <c r="AP199" s="30" t="s">
        <v>245</v>
      </c>
      <c r="AQ199" s="30" t="s">
        <v>1817</v>
      </c>
      <c r="AR199" s="30" t="s">
        <v>245</v>
      </c>
      <c r="AS199" s="30" t="s">
        <v>245</v>
      </c>
      <c r="AT199" s="30" t="s">
        <v>245</v>
      </c>
      <c r="AU199" s="30" t="s">
        <v>245</v>
      </c>
      <c r="AV199" s="30" t="s">
        <v>444</v>
      </c>
      <c r="AW199" s="30">
        <v>2021</v>
      </c>
      <c r="AX199" s="30">
        <v>21</v>
      </c>
      <c r="AY199" s="30">
        <v>1</v>
      </c>
      <c r="AZ199" s="30" t="s">
        <v>245</v>
      </c>
      <c r="BA199" s="30" t="s">
        <v>245</v>
      </c>
      <c r="BB199" s="30" t="s">
        <v>245</v>
      </c>
      <c r="BC199" s="30" t="s">
        <v>245</v>
      </c>
      <c r="BD199" s="30" t="s">
        <v>245</v>
      </c>
      <c r="BE199" s="30" t="s">
        <v>245</v>
      </c>
      <c r="BF199" s="30">
        <v>246</v>
      </c>
      <c r="BG199" s="30" t="s">
        <v>1818</v>
      </c>
      <c r="BH199" s="30" t="str">
        <f>HYPERLINK("http://dx.doi.org/10.1186/s12866-021-02313-z","http://dx.doi.org/10.1186/s12866-021-02313-z")</f>
        <v>http://dx.doi.org/10.1186/s12866-021-02313-z</v>
      </c>
      <c r="BI199" s="30" t="s">
        <v>245</v>
      </c>
      <c r="BJ199" s="30" t="s">
        <v>245</v>
      </c>
      <c r="BK199" s="30" t="s">
        <v>245</v>
      </c>
      <c r="BL199" s="30" t="s">
        <v>245</v>
      </c>
      <c r="BM199" s="30" t="s">
        <v>245</v>
      </c>
      <c r="BN199" s="30" t="s">
        <v>245</v>
      </c>
      <c r="BO199" s="30" t="s">
        <v>245</v>
      </c>
      <c r="BP199" s="30">
        <v>34521348</v>
      </c>
      <c r="BQ199" s="30" t="s">
        <v>245</v>
      </c>
      <c r="BR199" s="30" t="s">
        <v>245</v>
      </c>
      <c r="BS199" s="30" t="s">
        <v>245</v>
      </c>
      <c r="BT199" s="30" t="s">
        <v>245</v>
      </c>
      <c r="BU199" s="30" t="s">
        <v>1819</v>
      </c>
      <c r="BV199" s="30" t="str">
        <f>HYPERLINK("https%3A%2F%2Fwww.webofscience.com%2Fwos%2Fwoscc%2Ffull-record%2FWOS:000695828900001","View Full Record in Web of Science")</f>
        <v>View Full Record in Web of Science</v>
      </c>
    </row>
    <row r="200" spans="1:74" x14ac:dyDescent="0.2">
      <c r="A200" s="30" t="s">
        <v>243</v>
      </c>
      <c r="B200" s="30" t="s">
        <v>1820</v>
      </c>
      <c r="C200" s="30" t="s">
        <v>245</v>
      </c>
      <c r="D200" s="30" t="s">
        <v>245</v>
      </c>
      <c r="E200" s="30" t="s">
        <v>245</v>
      </c>
      <c r="F200" s="30" t="s">
        <v>1821</v>
      </c>
      <c r="G200" s="30" t="s">
        <v>245</v>
      </c>
      <c r="H200" s="30" t="s">
        <v>245</v>
      </c>
      <c r="I200" s="30" t="s">
        <v>2819</v>
      </c>
      <c r="K200" s="30" t="s">
        <v>1822</v>
      </c>
      <c r="L200" s="30" t="s">
        <v>469</v>
      </c>
      <c r="M200" s="30" t="s">
        <v>245</v>
      </c>
      <c r="N200" s="30" t="s">
        <v>245</v>
      </c>
      <c r="O200" s="30" t="s">
        <v>245</v>
      </c>
      <c r="P200" s="30" t="s">
        <v>245</v>
      </c>
      <c r="Q200" s="30" t="s">
        <v>245</v>
      </c>
      <c r="R200" s="30" t="s">
        <v>245</v>
      </c>
      <c r="S200" s="30" t="s">
        <v>245</v>
      </c>
      <c r="T200" s="30" t="s">
        <v>245</v>
      </c>
      <c r="U200" s="30" t="s">
        <v>245</v>
      </c>
      <c r="V200" s="30" t="s">
        <v>245</v>
      </c>
      <c r="W200" s="30" t="s">
        <v>245</v>
      </c>
      <c r="X200" s="30" t="s">
        <v>245</v>
      </c>
      <c r="Y200" s="30" t="s">
        <v>245</v>
      </c>
      <c r="Z200" s="30" t="s">
        <v>245</v>
      </c>
      <c r="AA200" s="30" t="s">
        <v>245</v>
      </c>
      <c r="AB200" s="30" t="s">
        <v>245</v>
      </c>
      <c r="AC200" s="30" t="s">
        <v>1823</v>
      </c>
      <c r="AD200" s="30" t="s">
        <v>1824</v>
      </c>
      <c r="AE200" s="30" t="s">
        <v>245</v>
      </c>
      <c r="AF200" s="30" t="s">
        <v>245</v>
      </c>
      <c r="AG200" s="30" t="s">
        <v>245</v>
      </c>
      <c r="AH200" s="30" t="s">
        <v>245</v>
      </c>
      <c r="AI200" s="30" t="s">
        <v>245</v>
      </c>
      <c r="AJ200" s="30" t="s">
        <v>245</v>
      </c>
      <c r="AK200" s="30" t="s">
        <v>245</v>
      </c>
      <c r="AL200" s="30" t="s">
        <v>245</v>
      </c>
      <c r="AM200" s="30" t="s">
        <v>245</v>
      </c>
      <c r="AN200" s="30" t="s">
        <v>245</v>
      </c>
      <c r="AO200" s="30" t="s">
        <v>245</v>
      </c>
      <c r="AP200" s="30" t="s">
        <v>245</v>
      </c>
      <c r="AQ200" s="30" t="s">
        <v>472</v>
      </c>
      <c r="AR200" s="30" t="s">
        <v>473</v>
      </c>
      <c r="AS200" s="30" t="s">
        <v>245</v>
      </c>
      <c r="AT200" s="30" t="s">
        <v>245</v>
      </c>
      <c r="AU200" s="30" t="s">
        <v>245</v>
      </c>
      <c r="AV200" s="30" t="s">
        <v>550</v>
      </c>
      <c r="AW200" s="30">
        <v>2023</v>
      </c>
      <c r="AX200" s="30">
        <v>439</v>
      </c>
      <c r="AY200" s="30" t="s">
        <v>245</v>
      </c>
      <c r="AZ200" s="30" t="s">
        <v>245</v>
      </c>
      <c r="BA200" s="30" t="s">
        <v>245</v>
      </c>
      <c r="BB200" s="30" t="s">
        <v>245</v>
      </c>
      <c r="BC200" s="30" t="s">
        <v>245</v>
      </c>
      <c r="BD200" s="30" t="s">
        <v>245</v>
      </c>
      <c r="BE200" s="30" t="s">
        <v>245</v>
      </c>
      <c r="BF200" s="30">
        <v>116682</v>
      </c>
      <c r="BG200" s="30" t="s">
        <v>1825</v>
      </c>
      <c r="BH200" s="30" t="str">
        <f>HYPERLINK("http://dx.doi.org/10.1016/j.geoderma.2023.116682","http://dx.doi.org/10.1016/j.geoderma.2023.116682")</f>
        <v>http://dx.doi.org/10.1016/j.geoderma.2023.116682</v>
      </c>
      <c r="BI200" s="30" t="s">
        <v>245</v>
      </c>
      <c r="BJ200" s="30" t="s">
        <v>607</v>
      </c>
      <c r="BK200" s="30" t="s">
        <v>245</v>
      </c>
      <c r="BL200" s="30" t="s">
        <v>245</v>
      </c>
      <c r="BM200" s="30" t="s">
        <v>245</v>
      </c>
      <c r="BN200" s="30" t="s">
        <v>245</v>
      </c>
      <c r="BO200" s="30" t="s">
        <v>245</v>
      </c>
      <c r="BP200" s="30" t="s">
        <v>245</v>
      </c>
      <c r="BQ200" s="30" t="s">
        <v>245</v>
      </c>
      <c r="BR200" s="30" t="s">
        <v>245</v>
      </c>
      <c r="BS200" s="30" t="s">
        <v>245</v>
      </c>
      <c r="BT200" s="30" t="s">
        <v>245</v>
      </c>
      <c r="BU200" s="30" t="s">
        <v>1826</v>
      </c>
      <c r="BV200" s="30" t="str">
        <f>HYPERLINK("https%3A%2F%2Fwww.webofscience.com%2Fwos%2Fwoscc%2Ffull-record%2FWOS:001097420800001","View Full Record in Web of Science")</f>
        <v>View Full Record in Web of Science</v>
      </c>
    </row>
    <row r="201" spans="1:74" x14ac:dyDescent="0.2">
      <c r="A201" s="30" t="s">
        <v>243</v>
      </c>
      <c r="B201" s="30" t="s">
        <v>1827</v>
      </c>
      <c r="C201" s="30" t="s">
        <v>245</v>
      </c>
      <c r="D201" s="30" t="s">
        <v>245</v>
      </c>
      <c r="E201" s="30" t="s">
        <v>245</v>
      </c>
      <c r="F201" s="30" t="s">
        <v>1828</v>
      </c>
      <c r="G201" s="30" t="s">
        <v>245</v>
      </c>
      <c r="H201" s="30" t="s">
        <v>245</v>
      </c>
      <c r="I201" s="30" t="s">
        <v>2822</v>
      </c>
      <c r="K201" s="30" t="s">
        <v>1829</v>
      </c>
      <c r="L201" s="30" t="s">
        <v>432</v>
      </c>
      <c r="M201" s="30" t="s">
        <v>245</v>
      </c>
      <c r="N201" s="30" t="s">
        <v>245</v>
      </c>
      <c r="O201" s="30" t="s">
        <v>245</v>
      </c>
      <c r="P201" s="30" t="s">
        <v>245</v>
      </c>
      <c r="Q201" s="30" t="s">
        <v>245</v>
      </c>
      <c r="R201" s="30" t="s">
        <v>245</v>
      </c>
      <c r="S201" s="30" t="s">
        <v>245</v>
      </c>
      <c r="T201" s="30" t="s">
        <v>245</v>
      </c>
      <c r="U201" s="30" t="s">
        <v>245</v>
      </c>
      <c r="V201" s="30" t="s">
        <v>245</v>
      </c>
      <c r="W201" s="30" t="s">
        <v>245</v>
      </c>
      <c r="X201" s="30" t="s">
        <v>245</v>
      </c>
      <c r="Y201" s="30" t="s">
        <v>245</v>
      </c>
      <c r="Z201" s="30" t="s">
        <v>245</v>
      </c>
      <c r="AA201" s="30" t="s">
        <v>245</v>
      </c>
      <c r="AB201" s="30" t="s">
        <v>245</v>
      </c>
      <c r="AC201" s="30" t="s">
        <v>245</v>
      </c>
      <c r="AD201" s="30" t="s">
        <v>245</v>
      </c>
      <c r="AE201" s="30" t="s">
        <v>245</v>
      </c>
      <c r="AF201" s="30" t="s">
        <v>245</v>
      </c>
      <c r="AG201" s="30" t="s">
        <v>245</v>
      </c>
      <c r="AH201" s="30" t="s">
        <v>245</v>
      </c>
      <c r="AI201" s="30" t="s">
        <v>245</v>
      </c>
      <c r="AJ201" s="30" t="s">
        <v>245</v>
      </c>
      <c r="AK201" s="30" t="s">
        <v>245</v>
      </c>
      <c r="AL201" s="30" t="s">
        <v>245</v>
      </c>
      <c r="AM201" s="30" t="s">
        <v>245</v>
      </c>
      <c r="AN201" s="30" t="s">
        <v>245</v>
      </c>
      <c r="AO201" s="30" t="s">
        <v>245</v>
      </c>
      <c r="AP201" s="30" t="s">
        <v>245</v>
      </c>
      <c r="AQ201" s="30" t="s">
        <v>433</v>
      </c>
      <c r="AR201" s="30" t="s">
        <v>434</v>
      </c>
      <c r="AS201" s="30" t="s">
        <v>245</v>
      </c>
      <c r="AT201" s="30" t="s">
        <v>245</v>
      </c>
      <c r="AU201" s="30" t="s">
        <v>245</v>
      </c>
      <c r="AV201" s="30" t="s">
        <v>297</v>
      </c>
      <c r="AW201" s="30">
        <v>2013</v>
      </c>
      <c r="AX201" s="30">
        <v>371</v>
      </c>
      <c r="AY201" s="30" t="s">
        <v>436</v>
      </c>
      <c r="AZ201" s="30" t="s">
        <v>245</v>
      </c>
      <c r="BA201" s="30" t="s">
        <v>245</v>
      </c>
      <c r="BB201" s="30" t="s">
        <v>245</v>
      </c>
      <c r="BC201" s="30" t="s">
        <v>245</v>
      </c>
      <c r="BD201" s="30">
        <v>257</v>
      </c>
      <c r="BE201" s="30">
        <v>266</v>
      </c>
      <c r="BF201" s="30" t="s">
        <v>245</v>
      </c>
      <c r="BG201" s="30" t="s">
        <v>1830</v>
      </c>
      <c r="BH201" s="30" t="str">
        <f>HYPERLINK("http://dx.doi.org/10.1007/s11104-013-1664-6","http://dx.doi.org/10.1007/s11104-013-1664-6")</f>
        <v>http://dx.doi.org/10.1007/s11104-013-1664-6</v>
      </c>
      <c r="BI201" s="30" t="s">
        <v>245</v>
      </c>
      <c r="BJ201" s="30" t="s">
        <v>245</v>
      </c>
      <c r="BK201" s="30" t="s">
        <v>245</v>
      </c>
      <c r="BL201" s="30" t="s">
        <v>245</v>
      </c>
      <c r="BM201" s="30" t="s">
        <v>245</v>
      </c>
      <c r="BN201" s="30" t="s">
        <v>245</v>
      </c>
      <c r="BO201" s="30" t="s">
        <v>245</v>
      </c>
      <c r="BP201" s="30" t="s">
        <v>245</v>
      </c>
      <c r="BQ201" s="30" t="s">
        <v>245</v>
      </c>
      <c r="BR201" s="30" t="s">
        <v>245</v>
      </c>
      <c r="BS201" s="30" t="s">
        <v>245</v>
      </c>
      <c r="BT201" s="30" t="s">
        <v>245</v>
      </c>
      <c r="BU201" s="30" t="s">
        <v>1831</v>
      </c>
      <c r="BV201" s="30" t="str">
        <f>HYPERLINK("https%3A%2F%2Fwww.webofscience.com%2Fwos%2Fwoscc%2Ffull-record%2FWOS:000324882500019","View Full Record in Web of Science")</f>
        <v>View Full Record in Web of Science</v>
      </c>
    </row>
    <row r="202" spans="1:74" x14ac:dyDescent="0.2">
      <c r="A202" s="30" t="s">
        <v>243</v>
      </c>
      <c r="B202" s="30" t="s">
        <v>1832</v>
      </c>
      <c r="C202" s="30" t="s">
        <v>245</v>
      </c>
      <c r="D202" s="30" t="s">
        <v>245</v>
      </c>
      <c r="E202" s="30" t="s">
        <v>245</v>
      </c>
      <c r="F202" s="30" t="s">
        <v>1833</v>
      </c>
      <c r="G202" s="30" t="s">
        <v>245</v>
      </c>
      <c r="H202" s="30" t="s">
        <v>245</v>
      </c>
      <c r="I202" s="30" t="s">
        <v>2819</v>
      </c>
      <c r="K202" s="30" t="s">
        <v>1834</v>
      </c>
      <c r="L202" s="30" t="s">
        <v>1835</v>
      </c>
      <c r="M202" s="30" t="s">
        <v>245</v>
      </c>
      <c r="N202" s="30" t="s">
        <v>245</v>
      </c>
      <c r="O202" s="30" t="s">
        <v>245</v>
      </c>
      <c r="P202" s="30" t="s">
        <v>245</v>
      </c>
      <c r="Q202" s="30" t="s">
        <v>245</v>
      </c>
      <c r="R202" s="30" t="s">
        <v>245</v>
      </c>
      <c r="S202" s="30" t="s">
        <v>245</v>
      </c>
      <c r="T202" s="30" t="s">
        <v>245</v>
      </c>
      <c r="U202" s="30" t="s">
        <v>245</v>
      </c>
      <c r="V202" s="30" t="s">
        <v>245</v>
      </c>
      <c r="W202" s="30" t="s">
        <v>245</v>
      </c>
      <c r="X202" s="30" t="s">
        <v>245</v>
      </c>
      <c r="Y202" s="30" t="s">
        <v>245</v>
      </c>
      <c r="Z202" s="30" t="s">
        <v>245</v>
      </c>
      <c r="AA202" s="30" t="s">
        <v>245</v>
      </c>
      <c r="AB202" s="30" t="s">
        <v>245</v>
      </c>
      <c r="AC202" s="30" t="s">
        <v>1836</v>
      </c>
      <c r="AD202" s="30" t="s">
        <v>1837</v>
      </c>
      <c r="AE202" s="30" t="s">
        <v>245</v>
      </c>
      <c r="AF202" s="30" t="s">
        <v>245</v>
      </c>
      <c r="AG202" s="30" t="s">
        <v>245</v>
      </c>
      <c r="AH202" s="30" t="s">
        <v>245</v>
      </c>
      <c r="AI202" s="30" t="s">
        <v>245</v>
      </c>
      <c r="AJ202" s="30" t="s">
        <v>245</v>
      </c>
      <c r="AK202" s="30" t="s">
        <v>245</v>
      </c>
      <c r="AL202" s="30" t="s">
        <v>245</v>
      </c>
      <c r="AM202" s="30" t="s">
        <v>245</v>
      </c>
      <c r="AN202" s="30" t="s">
        <v>245</v>
      </c>
      <c r="AO202" s="30" t="s">
        <v>245</v>
      </c>
      <c r="AP202" s="30" t="s">
        <v>245</v>
      </c>
      <c r="AQ202" s="30" t="s">
        <v>1838</v>
      </c>
      <c r="AR202" s="30" t="s">
        <v>245</v>
      </c>
      <c r="AS202" s="30" t="s">
        <v>245</v>
      </c>
      <c r="AT202" s="30" t="s">
        <v>245</v>
      </c>
      <c r="AU202" s="30" t="s">
        <v>245</v>
      </c>
      <c r="AV202" s="30" t="s">
        <v>1839</v>
      </c>
      <c r="AW202" s="30">
        <v>2011</v>
      </c>
      <c r="AX202" s="30">
        <v>6</v>
      </c>
      <c r="AY202" s="30">
        <v>4</v>
      </c>
      <c r="AZ202" s="30" t="s">
        <v>245</v>
      </c>
      <c r="BA202" s="30" t="s">
        <v>245</v>
      </c>
      <c r="BB202" s="30" t="s">
        <v>245</v>
      </c>
      <c r="BC202" s="30" t="s">
        <v>245</v>
      </c>
      <c r="BD202" s="30" t="s">
        <v>245</v>
      </c>
      <c r="BE202" s="30" t="s">
        <v>245</v>
      </c>
      <c r="BF202" s="30">
        <v>44016</v>
      </c>
      <c r="BG202" s="30" t="s">
        <v>1840</v>
      </c>
      <c r="BH202" s="30" t="str">
        <f>HYPERLINK("http://dx.doi.org/10.1088/1748-9326/6/4/044016","http://dx.doi.org/10.1088/1748-9326/6/4/044016")</f>
        <v>http://dx.doi.org/10.1088/1748-9326/6/4/044016</v>
      </c>
      <c r="BI202" s="30" t="s">
        <v>245</v>
      </c>
      <c r="BJ202" s="30" t="s">
        <v>245</v>
      </c>
      <c r="BK202" s="30" t="s">
        <v>245</v>
      </c>
      <c r="BL202" s="30" t="s">
        <v>245</v>
      </c>
      <c r="BM202" s="30" t="s">
        <v>245</v>
      </c>
      <c r="BN202" s="30" t="s">
        <v>245</v>
      </c>
      <c r="BO202" s="30" t="s">
        <v>245</v>
      </c>
      <c r="BP202" s="30" t="s">
        <v>245</v>
      </c>
      <c r="BQ202" s="30" t="s">
        <v>245</v>
      </c>
      <c r="BR202" s="30" t="s">
        <v>245</v>
      </c>
      <c r="BS202" s="30" t="s">
        <v>245</v>
      </c>
      <c r="BT202" s="30" t="s">
        <v>245</v>
      </c>
      <c r="BU202" s="30" t="s">
        <v>1841</v>
      </c>
      <c r="BV202" s="30" t="str">
        <f>HYPERLINK("https%3A%2F%2Fwww.webofscience.com%2Fwos%2Fwoscc%2Ffull-record%2FWOS:000298674700021","View Full Record in Web of Science")</f>
        <v>View Full Record in Web of Science</v>
      </c>
    </row>
    <row r="203" spans="1:74" x14ac:dyDescent="0.2">
      <c r="A203" s="30" t="s">
        <v>243</v>
      </c>
      <c r="B203" s="30" t="s">
        <v>1842</v>
      </c>
      <c r="C203" s="30" t="s">
        <v>245</v>
      </c>
      <c r="D203" s="30" t="s">
        <v>245</v>
      </c>
      <c r="E203" s="30" t="s">
        <v>245</v>
      </c>
      <c r="F203" s="30" t="s">
        <v>1843</v>
      </c>
      <c r="G203" s="30" t="s">
        <v>245</v>
      </c>
      <c r="H203" s="30" t="s">
        <v>245</v>
      </c>
      <c r="I203" s="30" t="s">
        <v>2823</v>
      </c>
      <c r="K203" s="30" t="s">
        <v>1844</v>
      </c>
      <c r="L203" s="30" t="s">
        <v>541</v>
      </c>
      <c r="M203" s="30" t="s">
        <v>245</v>
      </c>
      <c r="N203" s="30" t="s">
        <v>245</v>
      </c>
      <c r="O203" s="30" t="s">
        <v>245</v>
      </c>
      <c r="P203" s="30" t="s">
        <v>245</v>
      </c>
      <c r="Q203" s="30" t="s">
        <v>245</v>
      </c>
      <c r="R203" s="30" t="s">
        <v>245</v>
      </c>
      <c r="S203" s="30" t="s">
        <v>245</v>
      </c>
      <c r="T203" s="30" t="s">
        <v>245</v>
      </c>
      <c r="U203" s="30" t="s">
        <v>245</v>
      </c>
      <c r="V203" s="30" t="s">
        <v>245</v>
      </c>
      <c r="W203" s="30" t="s">
        <v>245</v>
      </c>
      <c r="X203" s="30" t="s">
        <v>245</v>
      </c>
      <c r="Y203" s="30" t="s">
        <v>245</v>
      </c>
      <c r="Z203" s="30" t="s">
        <v>245</v>
      </c>
      <c r="AA203" s="30" t="s">
        <v>245</v>
      </c>
      <c r="AB203" s="30" t="s">
        <v>245</v>
      </c>
      <c r="AC203" s="30" t="s">
        <v>1845</v>
      </c>
      <c r="AD203" s="30" t="s">
        <v>1846</v>
      </c>
      <c r="AE203" s="30" t="s">
        <v>245</v>
      </c>
      <c r="AF203" s="30" t="s">
        <v>245</v>
      </c>
      <c r="AG203" s="30" t="s">
        <v>245</v>
      </c>
      <c r="AH203" s="30" t="s">
        <v>245</v>
      </c>
      <c r="AI203" s="30" t="s">
        <v>245</v>
      </c>
      <c r="AJ203" s="30" t="s">
        <v>245</v>
      </c>
      <c r="AK203" s="30" t="s">
        <v>245</v>
      </c>
      <c r="AL203" s="30" t="s">
        <v>245</v>
      </c>
      <c r="AM203" s="30" t="s">
        <v>245</v>
      </c>
      <c r="AN203" s="30" t="s">
        <v>245</v>
      </c>
      <c r="AO203" s="30" t="s">
        <v>245</v>
      </c>
      <c r="AP203" s="30" t="s">
        <v>245</v>
      </c>
      <c r="AQ203" s="30" t="s">
        <v>544</v>
      </c>
      <c r="AR203" s="30" t="s">
        <v>545</v>
      </c>
      <c r="AS203" s="30" t="s">
        <v>245</v>
      </c>
      <c r="AT203" s="30" t="s">
        <v>245</v>
      </c>
      <c r="AU203" s="30" t="s">
        <v>245</v>
      </c>
      <c r="AV203" s="30" t="s">
        <v>635</v>
      </c>
      <c r="AW203" s="30">
        <v>2021</v>
      </c>
      <c r="AX203" s="30">
        <v>319</v>
      </c>
      <c r="AY203" s="30" t="s">
        <v>245</v>
      </c>
      <c r="AZ203" s="30" t="s">
        <v>245</v>
      </c>
      <c r="BA203" s="30" t="s">
        <v>245</v>
      </c>
      <c r="BB203" s="30" t="s">
        <v>245</v>
      </c>
      <c r="BC203" s="30" t="s">
        <v>245</v>
      </c>
      <c r="BD203" s="30" t="s">
        <v>245</v>
      </c>
      <c r="BE203" s="30" t="s">
        <v>245</v>
      </c>
      <c r="BF203" s="30">
        <v>107545</v>
      </c>
      <c r="BG203" s="30" t="s">
        <v>1847</v>
      </c>
      <c r="BH203" s="30" t="str">
        <f>HYPERLINK("http://dx.doi.org/10.1016/j.agee.2021.107545","http://dx.doi.org/10.1016/j.agee.2021.107545")</f>
        <v>http://dx.doi.org/10.1016/j.agee.2021.107545</v>
      </c>
      <c r="BI203" s="30" t="s">
        <v>245</v>
      </c>
      <c r="BJ203" s="30" t="s">
        <v>1328</v>
      </c>
      <c r="BK203" s="30" t="s">
        <v>245</v>
      </c>
      <c r="BL203" s="30" t="s">
        <v>245</v>
      </c>
      <c r="BM203" s="30" t="s">
        <v>245</v>
      </c>
      <c r="BN203" s="30" t="s">
        <v>245</v>
      </c>
      <c r="BO203" s="30" t="s">
        <v>245</v>
      </c>
      <c r="BP203" s="30" t="s">
        <v>245</v>
      </c>
      <c r="BQ203" s="30" t="s">
        <v>245</v>
      </c>
      <c r="BR203" s="30" t="s">
        <v>245</v>
      </c>
      <c r="BS203" s="30" t="s">
        <v>245</v>
      </c>
      <c r="BT203" s="30" t="s">
        <v>245</v>
      </c>
      <c r="BU203" s="30" t="s">
        <v>1848</v>
      </c>
      <c r="BV203" s="30" t="str">
        <f>HYPERLINK("https%3A%2F%2Fwww.webofscience.com%2Fwos%2Fwoscc%2Ffull-record%2FWOS:000685518100006","View Full Record in Web of Science")</f>
        <v>View Full Record in Web of Science</v>
      </c>
    </row>
    <row r="204" spans="1:74" x14ac:dyDescent="0.2">
      <c r="A204" s="30" t="s">
        <v>243</v>
      </c>
      <c r="B204" s="30" t="s">
        <v>1849</v>
      </c>
      <c r="C204" s="30" t="s">
        <v>245</v>
      </c>
      <c r="D204" s="30" t="s">
        <v>245</v>
      </c>
      <c r="E204" s="30" t="s">
        <v>245</v>
      </c>
      <c r="F204" s="30" t="s">
        <v>1850</v>
      </c>
      <c r="G204" s="30" t="s">
        <v>245</v>
      </c>
      <c r="H204" s="30" t="s">
        <v>245</v>
      </c>
      <c r="I204" s="30" t="s">
        <v>2823</v>
      </c>
      <c r="K204" s="30" t="s">
        <v>1851</v>
      </c>
      <c r="L204" s="30" t="s">
        <v>1563</v>
      </c>
      <c r="M204" s="30" t="s">
        <v>245</v>
      </c>
      <c r="N204" s="30" t="s">
        <v>245</v>
      </c>
      <c r="O204" s="30" t="s">
        <v>245</v>
      </c>
      <c r="P204" s="30" t="s">
        <v>245</v>
      </c>
      <c r="Q204" s="30" t="s">
        <v>245</v>
      </c>
      <c r="R204" s="30" t="s">
        <v>245</v>
      </c>
      <c r="S204" s="30" t="s">
        <v>245</v>
      </c>
      <c r="T204" s="30" t="s">
        <v>245</v>
      </c>
      <c r="U204" s="30" t="s">
        <v>245</v>
      </c>
      <c r="V204" s="30" t="s">
        <v>245</v>
      </c>
      <c r="W204" s="30" t="s">
        <v>245</v>
      </c>
      <c r="X204" s="30" t="s">
        <v>245</v>
      </c>
      <c r="Y204" s="30" t="s">
        <v>245</v>
      </c>
      <c r="Z204" s="30" t="s">
        <v>245</v>
      </c>
      <c r="AA204" s="30" t="s">
        <v>245</v>
      </c>
      <c r="AB204" s="30" t="s">
        <v>245</v>
      </c>
      <c r="AC204" s="30" t="s">
        <v>1852</v>
      </c>
      <c r="AD204" s="30" t="s">
        <v>1853</v>
      </c>
      <c r="AE204" s="30" t="s">
        <v>245</v>
      </c>
      <c r="AF204" s="30" t="s">
        <v>245</v>
      </c>
      <c r="AG204" s="30" t="s">
        <v>245</v>
      </c>
      <c r="AH204" s="30" t="s">
        <v>245</v>
      </c>
      <c r="AI204" s="30" t="s">
        <v>245</v>
      </c>
      <c r="AJ204" s="30" t="s">
        <v>245</v>
      </c>
      <c r="AK204" s="30" t="s">
        <v>245</v>
      </c>
      <c r="AL204" s="30" t="s">
        <v>245</v>
      </c>
      <c r="AM204" s="30" t="s">
        <v>245</v>
      </c>
      <c r="AN204" s="30" t="s">
        <v>245</v>
      </c>
      <c r="AO204" s="30" t="s">
        <v>245</v>
      </c>
      <c r="AP204" s="30" t="s">
        <v>245</v>
      </c>
      <c r="AQ204" s="30" t="s">
        <v>1564</v>
      </c>
      <c r="AR204" s="30" t="s">
        <v>1565</v>
      </c>
      <c r="AS204" s="30" t="s">
        <v>245</v>
      </c>
      <c r="AT204" s="30" t="s">
        <v>245</v>
      </c>
      <c r="AU204" s="30" t="s">
        <v>245</v>
      </c>
      <c r="AV204" s="30" t="s">
        <v>454</v>
      </c>
      <c r="AW204" s="30">
        <v>2012</v>
      </c>
      <c r="AX204" s="30">
        <v>223</v>
      </c>
      <c r="AY204" s="30">
        <v>7</v>
      </c>
      <c r="AZ204" s="30" t="s">
        <v>245</v>
      </c>
      <c r="BA204" s="30" t="s">
        <v>245</v>
      </c>
      <c r="BB204" s="30" t="s">
        <v>245</v>
      </c>
      <c r="BC204" s="30" t="s">
        <v>245</v>
      </c>
      <c r="BD204" s="30">
        <v>4459</v>
      </c>
      <c r="BE204" s="30">
        <v>4469</v>
      </c>
      <c r="BF204" s="30" t="s">
        <v>245</v>
      </c>
      <c r="BG204" s="30" t="s">
        <v>1854</v>
      </c>
      <c r="BH204" s="30" t="str">
        <f>HYPERLINK("http://dx.doi.org/10.1007/s11270-012-1209-2","http://dx.doi.org/10.1007/s11270-012-1209-2")</f>
        <v>http://dx.doi.org/10.1007/s11270-012-1209-2</v>
      </c>
      <c r="BI204" s="30" t="s">
        <v>245</v>
      </c>
      <c r="BJ204" s="30" t="s">
        <v>245</v>
      </c>
      <c r="BK204" s="30" t="s">
        <v>245</v>
      </c>
      <c r="BL204" s="30" t="s">
        <v>245</v>
      </c>
      <c r="BM204" s="30" t="s">
        <v>245</v>
      </c>
      <c r="BN204" s="30" t="s">
        <v>245</v>
      </c>
      <c r="BO204" s="30" t="s">
        <v>245</v>
      </c>
      <c r="BP204" s="30" t="s">
        <v>245</v>
      </c>
      <c r="BQ204" s="30" t="s">
        <v>245</v>
      </c>
      <c r="BR204" s="30" t="s">
        <v>245</v>
      </c>
      <c r="BS204" s="30" t="s">
        <v>245</v>
      </c>
      <c r="BT204" s="30" t="s">
        <v>245</v>
      </c>
      <c r="BU204" s="30" t="s">
        <v>1855</v>
      </c>
      <c r="BV204" s="30" t="str">
        <f>HYPERLINK("https%3A%2F%2Fwww.webofscience.com%2Fwos%2Fwoscc%2Ffull-record%2FWOS:000307276400072","View Full Record in Web of Science")</f>
        <v>View Full Record in Web of Science</v>
      </c>
    </row>
    <row r="205" spans="1:74" x14ac:dyDescent="0.2">
      <c r="A205" s="30" t="s">
        <v>243</v>
      </c>
      <c r="B205" s="30" t="s">
        <v>1856</v>
      </c>
      <c r="C205" s="30" t="s">
        <v>245</v>
      </c>
      <c r="D205" s="30" t="s">
        <v>245</v>
      </c>
      <c r="E205" s="30" t="s">
        <v>245</v>
      </c>
      <c r="F205" s="30" t="s">
        <v>1857</v>
      </c>
      <c r="G205" s="30" t="s">
        <v>245</v>
      </c>
      <c r="H205" s="30" t="s">
        <v>245</v>
      </c>
      <c r="I205" s="30" t="s">
        <v>2823</v>
      </c>
      <c r="K205" s="30" t="s">
        <v>1858</v>
      </c>
      <c r="L205" s="30" t="s">
        <v>1122</v>
      </c>
      <c r="M205" s="30" t="s">
        <v>245</v>
      </c>
      <c r="N205" s="30" t="s">
        <v>245</v>
      </c>
      <c r="O205" s="30" t="s">
        <v>245</v>
      </c>
      <c r="P205" s="30" t="s">
        <v>245</v>
      </c>
      <c r="Q205" s="30" t="s">
        <v>245</v>
      </c>
      <c r="R205" s="30" t="s">
        <v>245</v>
      </c>
      <c r="S205" s="30" t="s">
        <v>245</v>
      </c>
      <c r="T205" s="30" t="s">
        <v>245</v>
      </c>
      <c r="U205" s="30" t="s">
        <v>245</v>
      </c>
      <c r="V205" s="30" t="s">
        <v>245</v>
      </c>
      <c r="W205" s="30" t="s">
        <v>245</v>
      </c>
      <c r="X205" s="30" t="s">
        <v>245</v>
      </c>
      <c r="Y205" s="30" t="s">
        <v>245</v>
      </c>
      <c r="Z205" s="30" t="s">
        <v>245</v>
      </c>
      <c r="AA205" s="30" t="s">
        <v>245</v>
      </c>
      <c r="AB205" s="30" t="s">
        <v>245</v>
      </c>
      <c r="AC205" s="30" t="s">
        <v>245</v>
      </c>
      <c r="AD205" s="30" t="s">
        <v>245</v>
      </c>
      <c r="AE205" s="30" t="s">
        <v>245</v>
      </c>
      <c r="AF205" s="30" t="s">
        <v>245</v>
      </c>
      <c r="AG205" s="30" t="s">
        <v>245</v>
      </c>
      <c r="AH205" s="30" t="s">
        <v>245</v>
      </c>
      <c r="AI205" s="30" t="s">
        <v>245</v>
      </c>
      <c r="AJ205" s="30" t="s">
        <v>245</v>
      </c>
      <c r="AK205" s="30" t="s">
        <v>245</v>
      </c>
      <c r="AL205" s="30" t="s">
        <v>245</v>
      </c>
      <c r="AM205" s="30" t="s">
        <v>245</v>
      </c>
      <c r="AN205" s="30" t="s">
        <v>245</v>
      </c>
      <c r="AO205" s="30" t="s">
        <v>245</v>
      </c>
      <c r="AP205" s="30" t="s">
        <v>245</v>
      </c>
      <c r="AQ205" s="30" t="s">
        <v>245</v>
      </c>
      <c r="AR205" s="30" t="s">
        <v>1125</v>
      </c>
      <c r="AS205" s="30" t="s">
        <v>245</v>
      </c>
      <c r="AT205" s="30" t="s">
        <v>245</v>
      </c>
      <c r="AU205" s="30" t="s">
        <v>245</v>
      </c>
      <c r="AV205" s="30" t="s">
        <v>550</v>
      </c>
      <c r="AW205" s="30">
        <v>2021</v>
      </c>
      <c r="AX205" s="30">
        <v>11</v>
      </c>
      <c r="AY205" s="30">
        <v>11</v>
      </c>
      <c r="AZ205" s="30" t="s">
        <v>245</v>
      </c>
      <c r="BA205" s="30" t="s">
        <v>245</v>
      </c>
      <c r="BB205" s="30" t="s">
        <v>245</v>
      </c>
      <c r="BC205" s="30" t="s">
        <v>245</v>
      </c>
      <c r="BD205" s="30" t="s">
        <v>245</v>
      </c>
      <c r="BE205" s="30" t="s">
        <v>245</v>
      </c>
      <c r="BF205" s="30">
        <v>2215</v>
      </c>
      <c r="BG205" s="30" t="s">
        <v>1859</v>
      </c>
      <c r="BH205" s="30" t="str">
        <f>HYPERLINK("http://dx.doi.org/10.3390/agronomy11112215","http://dx.doi.org/10.3390/agronomy11112215")</f>
        <v>http://dx.doi.org/10.3390/agronomy11112215</v>
      </c>
      <c r="BI205" s="30" t="s">
        <v>245</v>
      </c>
      <c r="BJ205" s="30" t="s">
        <v>245</v>
      </c>
      <c r="BK205" s="30" t="s">
        <v>245</v>
      </c>
      <c r="BL205" s="30" t="s">
        <v>245</v>
      </c>
      <c r="BM205" s="30" t="s">
        <v>245</v>
      </c>
      <c r="BN205" s="30" t="s">
        <v>245</v>
      </c>
      <c r="BO205" s="30" t="s">
        <v>245</v>
      </c>
      <c r="BP205" s="30" t="s">
        <v>245</v>
      </c>
      <c r="BQ205" s="30" t="s">
        <v>245</v>
      </c>
      <c r="BR205" s="30" t="s">
        <v>245</v>
      </c>
      <c r="BS205" s="30" t="s">
        <v>245</v>
      </c>
      <c r="BT205" s="30" t="s">
        <v>245</v>
      </c>
      <c r="BU205" s="30" t="s">
        <v>1860</v>
      </c>
      <c r="BV205" s="30" t="str">
        <f>HYPERLINK("https%3A%2F%2Fwww.webofscience.com%2Fwos%2Fwoscc%2Ffull-record%2FWOS:000724111300001","View Full Record in Web of Science")</f>
        <v>View Full Record in Web of Science</v>
      </c>
    </row>
    <row r="206" spans="1:74" x14ac:dyDescent="0.2">
      <c r="A206" s="30" t="s">
        <v>243</v>
      </c>
      <c r="B206" s="30" t="s">
        <v>1861</v>
      </c>
      <c r="C206" s="30" t="s">
        <v>245</v>
      </c>
      <c r="D206" s="30" t="s">
        <v>245</v>
      </c>
      <c r="E206" s="30" t="s">
        <v>245</v>
      </c>
      <c r="F206" s="30" t="s">
        <v>1862</v>
      </c>
      <c r="G206" s="30" t="s">
        <v>245</v>
      </c>
      <c r="H206" s="30" t="s">
        <v>245</v>
      </c>
      <c r="I206" s="30" t="s">
        <v>2823</v>
      </c>
      <c r="K206" s="30" t="s">
        <v>1863</v>
      </c>
      <c r="L206" s="30" t="s">
        <v>765</v>
      </c>
      <c r="M206" s="30" t="s">
        <v>245</v>
      </c>
      <c r="N206" s="30" t="s">
        <v>245</v>
      </c>
      <c r="O206" s="30" t="s">
        <v>245</v>
      </c>
      <c r="P206" s="30" t="s">
        <v>245</v>
      </c>
      <c r="Q206" s="30" t="s">
        <v>245</v>
      </c>
      <c r="R206" s="30" t="s">
        <v>245</v>
      </c>
      <c r="S206" s="30" t="s">
        <v>245</v>
      </c>
      <c r="T206" s="30" t="s">
        <v>245</v>
      </c>
      <c r="U206" s="30" t="s">
        <v>245</v>
      </c>
      <c r="V206" s="30" t="s">
        <v>245</v>
      </c>
      <c r="W206" s="30" t="s">
        <v>245</v>
      </c>
      <c r="X206" s="30" t="s">
        <v>245</v>
      </c>
      <c r="Y206" s="30" t="s">
        <v>245</v>
      </c>
      <c r="Z206" s="30" t="s">
        <v>245</v>
      </c>
      <c r="AA206" s="30" t="s">
        <v>245</v>
      </c>
      <c r="AB206" s="30" t="s">
        <v>245</v>
      </c>
      <c r="AC206" s="30" t="s">
        <v>1864</v>
      </c>
      <c r="AD206" s="30" t="s">
        <v>1865</v>
      </c>
      <c r="AE206" s="30" t="s">
        <v>245</v>
      </c>
      <c r="AF206" s="30" t="s">
        <v>245</v>
      </c>
      <c r="AG206" s="30" t="s">
        <v>245</v>
      </c>
      <c r="AH206" s="30" t="s">
        <v>245</v>
      </c>
      <c r="AI206" s="30" t="s">
        <v>245</v>
      </c>
      <c r="AJ206" s="30" t="s">
        <v>245</v>
      </c>
      <c r="AK206" s="30" t="s">
        <v>245</v>
      </c>
      <c r="AL206" s="30" t="s">
        <v>245</v>
      </c>
      <c r="AM206" s="30" t="s">
        <v>245</v>
      </c>
      <c r="AN206" s="30" t="s">
        <v>245</v>
      </c>
      <c r="AO206" s="30" t="s">
        <v>245</v>
      </c>
      <c r="AP206" s="30" t="s">
        <v>245</v>
      </c>
      <c r="AQ206" s="30" t="s">
        <v>768</v>
      </c>
      <c r="AR206" s="30" t="s">
        <v>769</v>
      </c>
      <c r="AS206" s="30" t="s">
        <v>245</v>
      </c>
      <c r="AT206" s="30" t="s">
        <v>245</v>
      </c>
      <c r="AU206" s="30" t="s">
        <v>245</v>
      </c>
      <c r="AV206" s="30" t="s">
        <v>365</v>
      </c>
      <c r="AW206" s="30">
        <v>2011</v>
      </c>
      <c r="AX206" s="30">
        <v>45</v>
      </c>
      <c r="AY206" s="30">
        <v>5</v>
      </c>
      <c r="AZ206" s="30" t="s">
        <v>245</v>
      </c>
      <c r="BA206" s="30" t="s">
        <v>245</v>
      </c>
      <c r="BB206" s="30" t="s">
        <v>245</v>
      </c>
      <c r="BC206" s="30" t="s">
        <v>245</v>
      </c>
      <c r="BD206" s="30">
        <v>1095</v>
      </c>
      <c r="BE206" s="30">
        <v>1101</v>
      </c>
      <c r="BF206" s="30" t="s">
        <v>245</v>
      </c>
      <c r="BG206" s="30" t="s">
        <v>1866</v>
      </c>
      <c r="BH206" s="30" t="str">
        <f>HYPERLINK("http://dx.doi.org/10.1016/j.atmosenv.2010.11.039","http://dx.doi.org/10.1016/j.atmosenv.2010.11.039")</f>
        <v>http://dx.doi.org/10.1016/j.atmosenv.2010.11.039</v>
      </c>
      <c r="BI206" s="30" t="s">
        <v>245</v>
      </c>
      <c r="BJ206" s="30" t="s">
        <v>245</v>
      </c>
      <c r="BK206" s="30" t="s">
        <v>245</v>
      </c>
      <c r="BL206" s="30" t="s">
        <v>245</v>
      </c>
      <c r="BM206" s="30" t="s">
        <v>245</v>
      </c>
      <c r="BN206" s="30" t="s">
        <v>245</v>
      </c>
      <c r="BO206" s="30" t="s">
        <v>245</v>
      </c>
      <c r="BP206" s="30" t="s">
        <v>245</v>
      </c>
      <c r="BQ206" s="30" t="s">
        <v>245</v>
      </c>
      <c r="BR206" s="30" t="s">
        <v>245</v>
      </c>
      <c r="BS206" s="30" t="s">
        <v>245</v>
      </c>
      <c r="BT206" s="30" t="s">
        <v>245</v>
      </c>
      <c r="BU206" s="30" t="s">
        <v>1867</v>
      </c>
      <c r="BV206" s="30" t="str">
        <f>HYPERLINK("https%3A%2F%2Fwww.webofscience.com%2Fwos%2Fwoscc%2Ffull-record%2FWOS:000287619500004","View Full Record in Web of Science")</f>
        <v>View Full Record in Web of Science</v>
      </c>
    </row>
    <row r="207" spans="1:74" x14ac:dyDescent="0.2">
      <c r="A207" s="30" t="s">
        <v>243</v>
      </c>
      <c r="B207" s="30" t="s">
        <v>1868</v>
      </c>
      <c r="C207" s="30" t="s">
        <v>245</v>
      </c>
      <c r="D207" s="30" t="s">
        <v>245</v>
      </c>
      <c r="E207" s="30" t="s">
        <v>245</v>
      </c>
      <c r="F207" s="30" t="s">
        <v>1869</v>
      </c>
      <c r="G207" s="30" t="s">
        <v>245</v>
      </c>
      <c r="H207" s="30" t="s">
        <v>245</v>
      </c>
      <c r="J207" s="30" t="s">
        <v>2825</v>
      </c>
      <c r="K207" s="30" t="s">
        <v>1870</v>
      </c>
      <c r="L207" s="30" t="s">
        <v>541</v>
      </c>
      <c r="M207" s="30" t="s">
        <v>245</v>
      </c>
      <c r="N207" s="30" t="s">
        <v>245</v>
      </c>
      <c r="O207" s="30" t="s">
        <v>245</v>
      </c>
      <c r="P207" s="30" t="s">
        <v>245</v>
      </c>
      <c r="Q207" s="30" t="s">
        <v>245</v>
      </c>
      <c r="R207" s="30" t="s">
        <v>245</v>
      </c>
      <c r="S207" s="30" t="s">
        <v>245</v>
      </c>
      <c r="T207" s="30" t="s">
        <v>245</v>
      </c>
      <c r="U207" s="30" t="s">
        <v>245</v>
      </c>
      <c r="V207" s="30" t="s">
        <v>245</v>
      </c>
      <c r="W207" s="30" t="s">
        <v>245</v>
      </c>
      <c r="X207" s="30" t="s">
        <v>245</v>
      </c>
      <c r="Y207" s="30" t="s">
        <v>245</v>
      </c>
      <c r="Z207" s="30" t="s">
        <v>245</v>
      </c>
      <c r="AA207" s="30" t="s">
        <v>245</v>
      </c>
      <c r="AB207" s="30" t="s">
        <v>245</v>
      </c>
      <c r="AC207" s="30" t="s">
        <v>1871</v>
      </c>
      <c r="AD207" s="30" t="s">
        <v>1872</v>
      </c>
      <c r="AE207" s="30" t="s">
        <v>245</v>
      </c>
      <c r="AF207" s="30" t="s">
        <v>245</v>
      </c>
      <c r="AG207" s="30" t="s">
        <v>245</v>
      </c>
      <c r="AH207" s="30" t="s">
        <v>245</v>
      </c>
      <c r="AI207" s="30" t="s">
        <v>245</v>
      </c>
      <c r="AJ207" s="30" t="s">
        <v>245</v>
      </c>
      <c r="AK207" s="30" t="s">
        <v>245</v>
      </c>
      <c r="AL207" s="30" t="s">
        <v>245</v>
      </c>
      <c r="AM207" s="30" t="s">
        <v>245</v>
      </c>
      <c r="AN207" s="30" t="s">
        <v>245</v>
      </c>
      <c r="AO207" s="30" t="s">
        <v>245</v>
      </c>
      <c r="AP207" s="30" t="s">
        <v>245</v>
      </c>
      <c r="AQ207" s="30" t="s">
        <v>544</v>
      </c>
      <c r="AR207" s="30" t="s">
        <v>545</v>
      </c>
      <c r="AS207" s="30" t="s">
        <v>245</v>
      </c>
      <c r="AT207" s="30" t="s">
        <v>245</v>
      </c>
      <c r="AU207" s="30" t="s">
        <v>245</v>
      </c>
      <c r="AV207" s="30" t="s">
        <v>1873</v>
      </c>
      <c r="AW207" s="30">
        <v>2012</v>
      </c>
      <c r="AX207" s="30">
        <v>150</v>
      </c>
      <c r="AY207" s="30" t="s">
        <v>245</v>
      </c>
      <c r="AZ207" s="30" t="s">
        <v>245</v>
      </c>
      <c r="BA207" s="30" t="s">
        <v>245</v>
      </c>
      <c r="BB207" s="30" t="s">
        <v>245</v>
      </c>
      <c r="BC207" s="30" t="s">
        <v>245</v>
      </c>
      <c r="BD207" s="30">
        <v>91</v>
      </c>
      <c r="BE207" s="30">
        <v>101</v>
      </c>
      <c r="BF207" s="30" t="s">
        <v>245</v>
      </c>
      <c r="BG207" s="30" t="s">
        <v>1874</v>
      </c>
      <c r="BH207" s="30" t="str">
        <f>HYPERLINK("http://dx.doi.org/10.1016/j.agee.2012.01.001","http://dx.doi.org/10.1016/j.agee.2012.01.001")</f>
        <v>http://dx.doi.org/10.1016/j.agee.2012.01.001</v>
      </c>
      <c r="BI207" s="30" t="s">
        <v>245</v>
      </c>
      <c r="BJ207" s="30" t="s">
        <v>245</v>
      </c>
      <c r="BK207" s="30" t="s">
        <v>245</v>
      </c>
      <c r="BL207" s="30" t="s">
        <v>245</v>
      </c>
      <c r="BM207" s="30" t="s">
        <v>245</v>
      </c>
      <c r="BN207" s="30" t="s">
        <v>245</v>
      </c>
      <c r="BO207" s="30" t="s">
        <v>245</v>
      </c>
      <c r="BP207" s="30" t="s">
        <v>245</v>
      </c>
      <c r="BQ207" s="30" t="s">
        <v>245</v>
      </c>
      <c r="BR207" s="30" t="s">
        <v>245</v>
      </c>
      <c r="BS207" s="30" t="s">
        <v>245</v>
      </c>
      <c r="BT207" s="30" t="s">
        <v>245</v>
      </c>
      <c r="BU207" s="30" t="s">
        <v>1875</v>
      </c>
      <c r="BV207" s="30" t="str">
        <f>HYPERLINK("https%3A%2F%2Fwww.webofscience.com%2Fwos%2Fwoscc%2Ffull-record%2FWOS:000302106900010","View Full Record in Web of Science")</f>
        <v>View Full Record in Web of Science</v>
      </c>
    </row>
    <row r="208" spans="1:74" x14ac:dyDescent="0.2">
      <c r="A208" s="30" t="s">
        <v>243</v>
      </c>
      <c r="B208" s="30" t="s">
        <v>1876</v>
      </c>
      <c r="C208" s="30" t="s">
        <v>245</v>
      </c>
      <c r="D208" s="30" t="s">
        <v>245</v>
      </c>
      <c r="E208" s="30" t="s">
        <v>245</v>
      </c>
      <c r="F208" s="30" t="s">
        <v>1876</v>
      </c>
      <c r="G208" s="30" t="s">
        <v>245</v>
      </c>
      <c r="H208" s="30" t="s">
        <v>245</v>
      </c>
      <c r="K208" s="30" t="s">
        <v>89</v>
      </c>
      <c r="L208" s="30" t="s">
        <v>248</v>
      </c>
      <c r="M208" s="30" t="s">
        <v>245</v>
      </c>
      <c r="N208" s="30" t="s">
        <v>245</v>
      </c>
      <c r="O208" s="30" t="s">
        <v>245</v>
      </c>
      <c r="P208" s="30" t="s">
        <v>245</v>
      </c>
      <c r="Q208" s="30" t="s">
        <v>1877</v>
      </c>
      <c r="R208" s="30" t="s">
        <v>1878</v>
      </c>
      <c r="S208" s="30" t="s">
        <v>1879</v>
      </c>
      <c r="T208" s="30" t="s">
        <v>1880</v>
      </c>
      <c r="U208" s="30" t="s">
        <v>245</v>
      </c>
      <c r="V208" s="30" t="s">
        <v>245</v>
      </c>
      <c r="W208" s="30" t="s">
        <v>245</v>
      </c>
      <c r="X208" s="30" t="s">
        <v>245</v>
      </c>
      <c r="Y208" s="30" t="s">
        <v>245</v>
      </c>
      <c r="Z208" s="30" t="s">
        <v>245</v>
      </c>
      <c r="AA208" s="30" t="s">
        <v>245</v>
      </c>
      <c r="AB208" s="30" t="s">
        <v>245</v>
      </c>
      <c r="AC208" s="30" t="s">
        <v>245</v>
      </c>
      <c r="AD208" s="30" t="s">
        <v>245</v>
      </c>
      <c r="AE208" s="30" t="s">
        <v>245</v>
      </c>
      <c r="AF208" s="30" t="s">
        <v>245</v>
      </c>
      <c r="AG208" s="30" t="s">
        <v>245</v>
      </c>
      <c r="AH208" s="30" t="s">
        <v>245</v>
      </c>
      <c r="AI208" s="30" t="s">
        <v>245</v>
      </c>
      <c r="AJ208" s="30" t="s">
        <v>245</v>
      </c>
      <c r="AK208" s="30" t="s">
        <v>245</v>
      </c>
      <c r="AL208" s="30" t="s">
        <v>245</v>
      </c>
      <c r="AM208" s="30" t="s">
        <v>245</v>
      </c>
      <c r="AN208" s="30" t="s">
        <v>245</v>
      </c>
      <c r="AO208" s="30" t="s">
        <v>245</v>
      </c>
      <c r="AP208" s="30" t="s">
        <v>245</v>
      </c>
      <c r="AQ208" s="30" t="s">
        <v>251</v>
      </c>
      <c r="AR208" s="30" t="s">
        <v>252</v>
      </c>
      <c r="AS208" s="30" t="s">
        <v>245</v>
      </c>
      <c r="AT208" s="30" t="s">
        <v>245</v>
      </c>
      <c r="AU208" s="30" t="s">
        <v>245</v>
      </c>
      <c r="AV208" s="30" t="s">
        <v>245</v>
      </c>
      <c r="AW208" s="30">
        <v>1998</v>
      </c>
      <c r="AX208" s="30">
        <v>29</v>
      </c>
      <c r="AY208" s="30" t="s">
        <v>1881</v>
      </c>
      <c r="AZ208" s="30" t="s">
        <v>245</v>
      </c>
      <c r="BA208" s="30" t="s">
        <v>245</v>
      </c>
      <c r="BB208" s="30" t="s">
        <v>245</v>
      </c>
      <c r="BC208" s="30" t="s">
        <v>245</v>
      </c>
      <c r="BD208" s="30">
        <v>2207</v>
      </c>
      <c r="BE208" s="30">
        <v>2216</v>
      </c>
      <c r="BF208" s="30" t="s">
        <v>245</v>
      </c>
      <c r="BG208" s="30" t="s">
        <v>1882</v>
      </c>
      <c r="BH208" s="30" t="str">
        <f>HYPERLINK("http://dx.doi.org/10.1080/00103629809370103","http://dx.doi.org/10.1080/00103629809370103")</f>
        <v>http://dx.doi.org/10.1080/00103629809370103</v>
      </c>
      <c r="BI208" s="30" t="s">
        <v>245</v>
      </c>
      <c r="BJ208" s="30" t="s">
        <v>245</v>
      </c>
      <c r="BK208" s="30" t="s">
        <v>245</v>
      </c>
      <c r="BL208" s="30" t="s">
        <v>245</v>
      </c>
      <c r="BM208" s="30" t="s">
        <v>245</v>
      </c>
      <c r="BN208" s="30" t="s">
        <v>245</v>
      </c>
      <c r="BO208" s="30" t="s">
        <v>245</v>
      </c>
      <c r="BP208" s="30" t="s">
        <v>245</v>
      </c>
      <c r="BQ208" s="30" t="s">
        <v>245</v>
      </c>
      <c r="BR208" s="30" t="s">
        <v>245</v>
      </c>
      <c r="BS208" s="30" t="s">
        <v>245</v>
      </c>
      <c r="BT208" s="30" t="s">
        <v>245</v>
      </c>
      <c r="BU208" s="30" t="s">
        <v>1883</v>
      </c>
      <c r="BV208" s="30" t="str">
        <f>HYPERLINK("https%3A%2F%2Fwww.webofscience.com%2Fwos%2Fwoscc%2Ffull-record%2FWOS:000075685600067","View Full Record in Web of Science")</f>
        <v>View Full Record in Web of Science</v>
      </c>
    </row>
    <row r="209" spans="1:74" x14ac:dyDescent="0.2">
      <c r="A209" s="30" t="s">
        <v>243</v>
      </c>
      <c r="B209" s="30" t="s">
        <v>1884</v>
      </c>
      <c r="C209" s="30" t="s">
        <v>245</v>
      </c>
      <c r="D209" s="30" t="s">
        <v>245</v>
      </c>
      <c r="E209" s="30" t="s">
        <v>245</v>
      </c>
      <c r="F209" s="30" t="s">
        <v>1885</v>
      </c>
      <c r="G209" s="30" t="s">
        <v>245</v>
      </c>
      <c r="H209" s="30" t="s">
        <v>245</v>
      </c>
      <c r="I209" s="30" t="s">
        <v>2823</v>
      </c>
      <c r="K209" s="30" t="s">
        <v>1886</v>
      </c>
      <c r="L209" s="30" t="s">
        <v>271</v>
      </c>
      <c r="M209" s="30" t="s">
        <v>245</v>
      </c>
      <c r="N209" s="30" t="s">
        <v>245</v>
      </c>
      <c r="O209" s="30" t="s">
        <v>245</v>
      </c>
      <c r="P209" s="30" t="s">
        <v>245</v>
      </c>
      <c r="Q209" s="30" t="s">
        <v>245</v>
      </c>
      <c r="R209" s="30" t="s">
        <v>245</v>
      </c>
      <c r="S209" s="30" t="s">
        <v>245</v>
      </c>
      <c r="T209" s="30" t="s">
        <v>245</v>
      </c>
      <c r="U209" s="30" t="s">
        <v>245</v>
      </c>
      <c r="V209" s="30" t="s">
        <v>245</v>
      </c>
      <c r="W209" s="30" t="s">
        <v>245</v>
      </c>
      <c r="X209" s="30" t="s">
        <v>245</v>
      </c>
      <c r="Y209" s="30" t="s">
        <v>245</v>
      </c>
      <c r="Z209" s="30" t="s">
        <v>245</v>
      </c>
      <c r="AA209" s="30" t="s">
        <v>245</v>
      </c>
      <c r="AB209" s="30" t="s">
        <v>245</v>
      </c>
      <c r="AC209" s="30" t="s">
        <v>1887</v>
      </c>
      <c r="AD209" s="30" t="s">
        <v>1888</v>
      </c>
      <c r="AE209" s="30" t="s">
        <v>245</v>
      </c>
      <c r="AF209" s="30" t="s">
        <v>245</v>
      </c>
      <c r="AG209" s="30" t="s">
        <v>245</v>
      </c>
      <c r="AH209" s="30" t="s">
        <v>245</v>
      </c>
      <c r="AI209" s="30" t="s">
        <v>245</v>
      </c>
      <c r="AJ209" s="30" t="s">
        <v>245</v>
      </c>
      <c r="AK209" s="30" t="s">
        <v>245</v>
      </c>
      <c r="AL209" s="30" t="s">
        <v>245</v>
      </c>
      <c r="AM209" s="30" t="s">
        <v>245</v>
      </c>
      <c r="AN209" s="30" t="s">
        <v>245</v>
      </c>
      <c r="AO209" s="30" t="s">
        <v>245</v>
      </c>
      <c r="AP209" s="30" t="s">
        <v>245</v>
      </c>
      <c r="AQ209" s="30" t="s">
        <v>274</v>
      </c>
      <c r="AR209" s="30" t="s">
        <v>275</v>
      </c>
      <c r="AS209" s="30" t="s">
        <v>245</v>
      </c>
      <c r="AT209" s="30" t="s">
        <v>245</v>
      </c>
      <c r="AU209" s="30" t="s">
        <v>245</v>
      </c>
      <c r="AV209" s="30" t="s">
        <v>1889</v>
      </c>
      <c r="AW209" s="30">
        <v>2016</v>
      </c>
      <c r="AX209" s="30">
        <v>50</v>
      </c>
      <c r="AY209" s="30">
        <v>18</v>
      </c>
      <c r="AZ209" s="30" t="s">
        <v>245</v>
      </c>
      <c r="BA209" s="30" t="s">
        <v>245</v>
      </c>
      <c r="BB209" s="30" t="s">
        <v>245</v>
      </c>
      <c r="BC209" s="30" t="s">
        <v>245</v>
      </c>
      <c r="BD209" s="30">
        <v>9972</v>
      </c>
      <c r="BE209" s="30">
        <v>9980</v>
      </c>
      <c r="BF209" s="30" t="s">
        <v>245</v>
      </c>
      <c r="BG209" s="30" t="s">
        <v>1890</v>
      </c>
      <c r="BH209" s="30" t="str">
        <f>HYPERLINK("http://dx.doi.org/10.1021/acs.est.6b01765","http://dx.doi.org/10.1021/acs.est.6b01765")</f>
        <v>http://dx.doi.org/10.1021/acs.est.6b01765</v>
      </c>
      <c r="BI209" s="30" t="s">
        <v>245</v>
      </c>
      <c r="BJ209" s="30" t="s">
        <v>245</v>
      </c>
      <c r="BK209" s="30" t="s">
        <v>245</v>
      </c>
      <c r="BL209" s="30" t="s">
        <v>245</v>
      </c>
      <c r="BM209" s="30" t="s">
        <v>245</v>
      </c>
      <c r="BN209" s="30" t="s">
        <v>245</v>
      </c>
      <c r="BO209" s="30" t="s">
        <v>245</v>
      </c>
      <c r="BP209" s="30">
        <v>27499451</v>
      </c>
      <c r="BQ209" s="30" t="s">
        <v>245</v>
      </c>
      <c r="BR209" s="30" t="s">
        <v>245</v>
      </c>
      <c r="BS209" s="30" t="s">
        <v>245</v>
      </c>
      <c r="BT209" s="30" t="s">
        <v>245</v>
      </c>
      <c r="BU209" s="30" t="s">
        <v>1891</v>
      </c>
      <c r="BV209" s="30" t="str">
        <f>HYPERLINK("https%3A%2F%2Fwww.webofscience.com%2Fwos%2Fwoscc%2Ffull-record%2FWOS:000384037900021","View Full Record in Web of Science")</f>
        <v>View Full Record in Web of Science</v>
      </c>
    </row>
    <row r="210" spans="1:74" x14ac:dyDescent="0.2">
      <c r="A210" s="30" t="s">
        <v>243</v>
      </c>
      <c r="B210" s="30" t="s">
        <v>1892</v>
      </c>
      <c r="C210" s="30" t="s">
        <v>245</v>
      </c>
      <c r="D210" s="30" t="s">
        <v>245</v>
      </c>
      <c r="E210" s="30" t="s">
        <v>245</v>
      </c>
      <c r="F210" s="30" t="s">
        <v>1893</v>
      </c>
      <c r="G210" s="30" t="s">
        <v>245</v>
      </c>
      <c r="H210" s="30" t="s">
        <v>245</v>
      </c>
      <c r="I210" s="30" t="s">
        <v>2823</v>
      </c>
      <c r="K210" s="30" t="s">
        <v>1894</v>
      </c>
      <c r="L210" s="30" t="s">
        <v>1895</v>
      </c>
      <c r="M210" s="30" t="s">
        <v>245</v>
      </c>
      <c r="N210" s="30" t="s">
        <v>245</v>
      </c>
      <c r="O210" s="30" t="s">
        <v>245</v>
      </c>
      <c r="P210" s="30" t="s">
        <v>245</v>
      </c>
      <c r="Q210" s="30" t="s">
        <v>245</v>
      </c>
      <c r="R210" s="30" t="s">
        <v>245</v>
      </c>
      <c r="S210" s="30" t="s">
        <v>245</v>
      </c>
      <c r="T210" s="30" t="s">
        <v>245</v>
      </c>
      <c r="U210" s="30" t="s">
        <v>245</v>
      </c>
      <c r="V210" s="30" t="s">
        <v>245</v>
      </c>
      <c r="W210" s="30" t="s">
        <v>245</v>
      </c>
      <c r="X210" s="30" t="s">
        <v>245</v>
      </c>
      <c r="Y210" s="30" t="s">
        <v>245</v>
      </c>
      <c r="Z210" s="30" t="s">
        <v>245</v>
      </c>
      <c r="AA210" s="30" t="s">
        <v>245</v>
      </c>
      <c r="AB210" s="30" t="s">
        <v>245</v>
      </c>
      <c r="AC210" s="30" t="s">
        <v>1896</v>
      </c>
      <c r="AD210" s="30" t="s">
        <v>1897</v>
      </c>
      <c r="AE210" s="30" t="s">
        <v>245</v>
      </c>
      <c r="AF210" s="30" t="s">
        <v>245</v>
      </c>
      <c r="AG210" s="30" t="s">
        <v>245</v>
      </c>
      <c r="AH210" s="30" t="s">
        <v>245</v>
      </c>
      <c r="AI210" s="30" t="s">
        <v>245</v>
      </c>
      <c r="AJ210" s="30" t="s">
        <v>245</v>
      </c>
      <c r="AK210" s="30" t="s">
        <v>245</v>
      </c>
      <c r="AL210" s="30" t="s">
        <v>245</v>
      </c>
      <c r="AM210" s="30" t="s">
        <v>245</v>
      </c>
      <c r="AN210" s="30" t="s">
        <v>245</v>
      </c>
      <c r="AO210" s="30" t="s">
        <v>245</v>
      </c>
      <c r="AP210" s="30" t="s">
        <v>245</v>
      </c>
      <c r="AQ210" s="30" t="s">
        <v>1898</v>
      </c>
      <c r="AR210" s="30" t="s">
        <v>245</v>
      </c>
      <c r="AS210" s="30" t="s">
        <v>245</v>
      </c>
      <c r="AT210" s="30" t="s">
        <v>245</v>
      </c>
      <c r="AU210" s="30" t="s">
        <v>245</v>
      </c>
      <c r="AV210" s="30" t="s">
        <v>1899</v>
      </c>
      <c r="AW210" s="30">
        <v>2013</v>
      </c>
      <c r="AX210" s="30">
        <v>110</v>
      </c>
      <c r="AY210" s="30">
        <v>16</v>
      </c>
      <c r="AZ210" s="30" t="s">
        <v>245</v>
      </c>
      <c r="BA210" s="30" t="s">
        <v>245</v>
      </c>
      <c r="BB210" s="30" t="s">
        <v>245</v>
      </c>
      <c r="BC210" s="30" t="s">
        <v>245</v>
      </c>
      <c r="BD210" s="30">
        <v>6328</v>
      </c>
      <c r="BE210" s="30">
        <v>6333</v>
      </c>
      <c r="BF210" s="30" t="s">
        <v>245</v>
      </c>
      <c r="BG210" s="30" t="s">
        <v>1900</v>
      </c>
      <c r="BH210" s="30" t="str">
        <f>HYPERLINK("http://dx.doi.org/10.1073/pnas.1219993110","http://dx.doi.org/10.1073/pnas.1219993110")</f>
        <v>http://dx.doi.org/10.1073/pnas.1219993110</v>
      </c>
      <c r="BI210" s="30" t="s">
        <v>245</v>
      </c>
      <c r="BJ210" s="30" t="s">
        <v>245</v>
      </c>
      <c r="BK210" s="30" t="s">
        <v>245</v>
      </c>
      <c r="BL210" s="30" t="s">
        <v>245</v>
      </c>
      <c r="BM210" s="30" t="s">
        <v>245</v>
      </c>
      <c r="BN210" s="30" t="s">
        <v>245</v>
      </c>
      <c r="BO210" s="30" t="s">
        <v>245</v>
      </c>
      <c r="BP210" s="30">
        <v>23576736</v>
      </c>
      <c r="BQ210" s="30" t="s">
        <v>245</v>
      </c>
      <c r="BR210" s="30" t="s">
        <v>245</v>
      </c>
      <c r="BS210" s="30" t="s">
        <v>245</v>
      </c>
      <c r="BT210" s="30" t="s">
        <v>245</v>
      </c>
      <c r="BU210" s="30" t="s">
        <v>1901</v>
      </c>
      <c r="BV210" s="30" t="str">
        <f>HYPERLINK("https%3A%2F%2Fwww.webofscience.com%2Fwos%2Fwoscc%2Ffull-record%2FWOS:000318041500030","View Full Record in Web of Science")</f>
        <v>View Full Record in Web of Science</v>
      </c>
    </row>
    <row r="211" spans="1:74" x14ac:dyDescent="0.2">
      <c r="A211" s="30" t="s">
        <v>243</v>
      </c>
      <c r="B211" s="30" t="s">
        <v>1902</v>
      </c>
      <c r="C211" s="30" t="s">
        <v>245</v>
      </c>
      <c r="D211" s="30" t="s">
        <v>245</v>
      </c>
      <c r="E211" s="30" t="s">
        <v>245</v>
      </c>
      <c r="F211" s="30" t="s">
        <v>1903</v>
      </c>
      <c r="G211" s="30" t="s">
        <v>245</v>
      </c>
      <c r="H211" s="30" t="s">
        <v>245</v>
      </c>
      <c r="I211" s="30" t="s">
        <v>2823</v>
      </c>
      <c r="K211" s="30" t="s">
        <v>1904</v>
      </c>
      <c r="L211" s="30" t="s">
        <v>1905</v>
      </c>
      <c r="M211" s="30" t="s">
        <v>245</v>
      </c>
      <c r="N211" s="30" t="s">
        <v>245</v>
      </c>
      <c r="O211" s="30" t="s">
        <v>245</v>
      </c>
      <c r="P211" s="30" t="s">
        <v>245</v>
      </c>
      <c r="Q211" s="30" t="s">
        <v>245</v>
      </c>
      <c r="R211" s="30" t="s">
        <v>245</v>
      </c>
      <c r="S211" s="30" t="s">
        <v>245</v>
      </c>
      <c r="T211" s="30" t="s">
        <v>245</v>
      </c>
      <c r="U211" s="30" t="s">
        <v>245</v>
      </c>
      <c r="V211" s="30" t="s">
        <v>245</v>
      </c>
      <c r="W211" s="30" t="s">
        <v>245</v>
      </c>
      <c r="X211" s="30" t="s">
        <v>245</v>
      </c>
      <c r="Y211" s="30" t="s">
        <v>245</v>
      </c>
      <c r="Z211" s="30" t="s">
        <v>245</v>
      </c>
      <c r="AA211" s="30" t="s">
        <v>245</v>
      </c>
      <c r="AB211" s="30" t="s">
        <v>245</v>
      </c>
      <c r="AC211" s="30" t="s">
        <v>1906</v>
      </c>
      <c r="AD211" s="30" t="s">
        <v>1907</v>
      </c>
      <c r="AE211" s="30" t="s">
        <v>245</v>
      </c>
      <c r="AF211" s="30" t="s">
        <v>245</v>
      </c>
      <c r="AG211" s="30" t="s">
        <v>245</v>
      </c>
      <c r="AH211" s="30" t="s">
        <v>245</v>
      </c>
      <c r="AI211" s="30" t="s">
        <v>245</v>
      </c>
      <c r="AJ211" s="30" t="s">
        <v>245</v>
      </c>
      <c r="AK211" s="30" t="s">
        <v>245</v>
      </c>
      <c r="AL211" s="30" t="s">
        <v>245</v>
      </c>
      <c r="AM211" s="30" t="s">
        <v>245</v>
      </c>
      <c r="AN211" s="30" t="s">
        <v>245</v>
      </c>
      <c r="AO211" s="30" t="s">
        <v>245</v>
      </c>
      <c r="AP211" s="30" t="s">
        <v>245</v>
      </c>
      <c r="AQ211" s="30" t="s">
        <v>1908</v>
      </c>
      <c r="AR211" s="30" t="s">
        <v>245</v>
      </c>
      <c r="AS211" s="30" t="s">
        <v>245</v>
      </c>
      <c r="AT211" s="30" t="s">
        <v>245</v>
      </c>
      <c r="AU211" s="30" t="s">
        <v>245</v>
      </c>
      <c r="AV211" s="30" t="s">
        <v>1909</v>
      </c>
      <c r="AW211" s="30">
        <v>2017</v>
      </c>
      <c r="AX211" s="30">
        <v>12</v>
      </c>
      <c r="AY211" s="30">
        <v>1</v>
      </c>
      <c r="AZ211" s="30" t="s">
        <v>245</v>
      </c>
      <c r="BA211" s="30" t="s">
        <v>245</v>
      </c>
      <c r="BB211" s="30" t="s">
        <v>245</v>
      </c>
      <c r="BC211" s="30" t="s">
        <v>245</v>
      </c>
      <c r="BD211" s="30" t="s">
        <v>245</v>
      </c>
      <c r="BE211" s="30" t="s">
        <v>245</v>
      </c>
      <c r="BF211" s="30" t="s">
        <v>1910</v>
      </c>
      <c r="BG211" s="30" t="s">
        <v>1911</v>
      </c>
      <c r="BH211" s="30" t="str">
        <f>HYPERLINK("http://dx.doi.org/10.1371/journal.pone.0169254","http://dx.doi.org/10.1371/journal.pone.0169254")</f>
        <v>http://dx.doi.org/10.1371/journal.pone.0169254</v>
      </c>
      <c r="BI211" s="30" t="s">
        <v>245</v>
      </c>
      <c r="BJ211" s="30" t="s">
        <v>245</v>
      </c>
      <c r="BK211" s="30" t="s">
        <v>245</v>
      </c>
      <c r="BL211" s="30" t="s">
        <v>245</v>
      </c>
      <c r="BM211" s="30" t="s">
        <v>245</v>
      </c>
      <c r="BN211" s="30" t="s">
        <v>245</v>
      </c>
      <c r="BO211" s="30" t="s">
        <v>245</v>
      </c>
      <c r="BP211" s="30">
        <v>28081161</v>
      </c>
      <c r="BQ211" s="30" t="s">
        <v>245</v>
      </c>
      <c r="BR211" s="30" t="s">
        <v>245</v>
      </c>
      <c r="BS211" s="30" t="s">
        <v>245</v>
      </c>
      <c r="BT211" s="30" t="s">
        <v>245</v>
      </c>
      <c r="BU211" s="30" t="s">
        <v>1912</v>
      </c>
      <c r="BV211" s="30" t="str">
        <f>HYPERLINK("https%3A%2F%2Fwww.webofscience.com%2Fwos%2Fwoscc%2Ffull-record%2FWOS:000391949500035","View Full Record in Web of Science")</f>
        <v>View Full Record in Web of Science</v>
      </c>
    </row>
    <row r="212" spans="1:74" x14ac:dyDescent="0.2">
      <c r="A212" s="30" t="s">
        <v>243</v>
      </c>
      <c r="B212" s="30" t="s">
        <v>1913</v>
      </c>
      <c r="C212" s="30" t="s">
        <v>245</v>
      </c>
      <c r="D212" s="30" t="s">
        <v>245</v>
      </c>
      <c r="E212" s="30" t="s">
        <v>245</v>
      </c>
      <c r="F212" s="30" t="s">
        <v>1914</v>
      </c>
      <c r="G212" s="30" t="s">
        <v>245</v>
      </c>
      <c r="H212" s="30" t="s">
        <v>245</v>
      </c>
      <c r="I212" s="30" t="s">
        <v>2822</v>
      </c>
      <c r="K212" s="30" t="s">
        <v>1915</v>
      </c>
      <c r="L212" s="30" t="s">
        <v>413</v>
      </c>
      <c r="M212" s="30" t="s">
        <v>245</v>
      </c>
      <c r="N212" s="30" t="s">
        <v>245</v>
      </c>
      <c r="O212" s="30" t="s">
        <v>245</v>
      </c>
      <c r="P212" s="30" t="s">
        <v>245</v>
      </c>
      <c r="Q212" s="30" t="s">
        <v>245</v>
      </c>
      <c r="R212" s="30" t="s">
        <v>245</v>
      </c>
      <c r="S212" s="30" t="s">
        <v>245</v>
      </c>
      <c r="T212" s="30" t="s">
        <v>245</v>
      </c>
      <c r="U212" s="30" t="s">
        <v>245</v>
      </c>
      <c r="V212" s="30" t="s">
        <v>245</v>
      </c>
      <c r="W212" s="30" t="s">
        <v>245</v>
      </c>
      <c r="X212" s="30" t="s">
        <v>245</v>
      </c>
      <c r="Y212" s="30" t="s">
        <v>245</v>
      </c>
      <c r="Z212" s="30" t="s">
        <v>245</v>
      </c>
      <c r="AA212" s="30" t="s">
        <v>245</v>
      </c>
      <c r="AB212" s="30" t="s">
        <v>245</v>
      </c>
      <c r="AC212" s="30" t="s">
        <v>1916</v>
      </c>
      <c r="AD212" s="30" t="s">
        <v>1917</v>
      </c>
      <c r="AE212" s="30" t="s">
        <v>245</v>
      </c>
      <c r="AF212" s="30" t="s">
        <v>245</v>
      </c>
      <c r="AG212" s="30" t="s">
        <v>245</v>
      </c>
      <c r="AH212" s="30" t="s">
        <v>245</v>
      </c>
      <c r="AI212" s="30" t="s">
        <v>245</v>
      </c>
      <c r="AJ212" s="30" t="s">
        <v>245</v>
      </c>
      <c r="AK212" s="30" t="s">
        <v>245</v>
      </c>
      <c r="AL212" s="30" t="s">
        <v>245</v>
      </c>
      <c r="AM212" s="30" t="s">
        <v>245</v>
      </c>
      <c r="AN212" s="30" t="s">
        <v>245</v>
      </c>
      <c r="AO212" s="30" t="s">
        <v>245</v>
      </c>
      <c r="AP212" s="30" t="s">
        <v>245</v>
      </c>
      <c r="AQ212" s="30" t="s">
        <v>416</v>
      </c>
      <c r="AR212" s="30" t="s">
        <v>417</v>
      </c>
      <c r="AS212" s="30" t="s">
        <v>245</v>
      </c>
      <c r="AT212" s="30" t="s">
        <v>245</v>
      </c>
      <c r="AU212" s="30" t="s">
        <v>245</v>
      </c>
      <c r="AV212" s="30" t="s">
        <v>562</v>
      </c>
      <c r="AW212" s="30">
        <v>2019</v>
      </c>
      <c r="AX212" s="30">
        <v>647</v>
      </c>
      <c r="AY212" s="30" t="s">
        <v>245</v>
      </c>
      <c r="AZ212" s="30" t="s">
        <v>245</v>
      </c>
      <c r="BA212" s="30" t="s">
        <v>245</v>
      </c>
      <c r="BB212" s="30" t="s">
        <v>245</v>
      </c>
      <c r="BC212" s="30" t="s">
        <v>245</v>
      </c>
      <c r="BD212" s="30">
        <v>134</v>
      </c>
      <c r="BE212" s="30">
        <v>140</v>
      </c>
      <c r="BF212" s="30" t="s">
        <v>245</v>
      </c>
      <c r="BG212" s="30" t="s">
        <v>1918</v>
      </c>
      <c r="BH212" s="30" t="str">
        <f>HYPERLINK("http://dx.doi.org/10.1016/j.scitotenv.2018.07.428","http://dx.doi.org/10.1016/j.scitotenv.2018.07.428")</f>
        <v>http://dx.doi.org/10.1016/j.scitotenv.2018.07.428</v>
      </c>
      <c r="BI212" s="30" t="s">
        <v>245</v>
      </c>
      <c r="BJ212" s="30" t="s">
        <v>245</v>
      </c>
      <c r="BK212" s="30" t="s">
        <v>245</v>
      </c>
      <c r="BL212" s="30" t="s">
        <v>245</v>
      </c>
      <c r="BM212" s="30" t="s">
        <v>245</v>
      </c>
      <c r="BN212" s="30" t="s">
        <v>245</v>
      </c>
      <c r="BO212" s="30" t="s">
        <v>245</v>
      </c>
      <c r="BP212" s="30">
        <v>30077843</v>
      </c>
      <c r="BQ212" s="30" t="s">
        <v>245</v>
      </c>
      <c r="BR212" s="30" t="s">
        <v>245</v>
      </c>
      <c r="BS212" s="30" t="s">
        <v>245</v>
      </c>
      <c r="BT212" s="30" t="s">
        <v>245</v>
      </c>
      <c r="BU212" s="30" t="s">
        <v>1919</v>
      </c>
      <c r="BV212" s="30" t="str">
        <f>HYPERLINK("https%3A%2F%2Fwww.webofscience.com%2Fwos%2Fwoscc%2Ffull-record%2FWOS:000447090400015","View Full Record in Web of Science")</f>
        <v>View Full Record in Web of Science</v>
      </c>
    </row>
    <row r="213" spans="1:74" x14ac:dyDescent="0.2">
      <c r="A213" s="30" t="s">
        <v>243</v>
      </c>
      <c r="B213" s="30" t="s">
        <v>1920</v>
      </c>
      <c r="C213" s="30" t="s">
        <v>245</v>
      </c>
      <c r="D213" s="30" t="s">
        <v>245</v>
      </c>
      <c r="E213" s="30" t="s">
        <v>245</v>
      </c>
      <c r="F213" s="30" t="s">
        <v>1921</v>
      </c>
      <c r="G213" s="30" t="s">
        <v>245</v>
      </c>
      <c r="H213" s="30" t="s">
        <v>245</v>
      </c>
      <c r="I213" s="30" t="s">
        <v>2823</v>
      </c>
      <c r="K213" s="30" t="s">
        <v>1922</v>
      </c>
      <c r="L213" s="30" t="s">
        <v>413</v>
      </c>
      <c r="M213" s="30" t="s">
        <v>245</v>
      </c>
      <c r="N213" s="30" t="s">
        <v>245</v>
      </c>
      <c r="O213" s="30" t="s">
        <v>245</v>
      </c>
      <c r="P213" s="30" t="s">
        <v>245</v>
      </c>
      <c r="Q213" s="30" t="s">
        <v>245</v>
      </c>
      <c r="R213" s="30" t="s">
        <v>245</v>
      </c>
      <c r="S213" s="30" t="s">
        <v>245</v>
      </c>
      <c r="T213" s="30" t="s">
        <v>245</v>
      </c>
      <c r="U213" s="30" t="s">
        <v>245</v>
      </c>
      <c r="V213" s="30" t="s">
        <v>245</v>
      </c>
      <c r="W213" s="30" t="s">
        <v>245</v>
      </c>
      <c r="X213" s="30" t="s">
        <v>245</v>
      </c>
      <c r="Y213" s="30" t="s">
        <v>245</v>
      </c>
      <c r="Z213" s="30" t="s">
        <v>245</v>
      </c>
      <c r="AA213" s="30" t="s">
        <v>245</v>
      </c>
      <c r="AB213" s="30" t="s">
        <v>245</v>
      </c>
      <c r="AC213" s="30" t="s">
        <v>1923</v>
      </c>
      <c r="AD213" s="30" t="s">
        <v>1924</v>
      </c>
      <c r="AE213" s="30" t="s">
        <v>245</v>
      </c>
      <c r="AF213" s="30" t="s">
        <v>245</v>
      </c>
      <c r="AG213" s="30" t="s">
        <v>245</v>
      </c>
      <c r="AH213" s="30" t="s">
        <v>245</v>
      </c>
      <c r="AI213" s="30" t="s">
        <v>245</v>
      </c>
      <c r="AJ213" s="30" t="s">
        <v>245</v>
      </c>
      <c r="AK213" s="30" t="s">
        <v>245</v>
      </c>
      <c r="AL213" s="30" t="s">
        <v>245</v>
      </c>
      <c r="AM213" s="30" t="s">
        <v>245</v>
      </c>
      <c r="AN213" s="30" t="s">
        <v>245</v>
      </c>
      <c r="AO213" s="30" t="s">
        <v>245</v>
      </c>
      <c r="AP213" s="30" t="s">
        <v>245</v>
      </c>
      <c r="AQ213" s="30" t="s">
        <v>416</v>
      </c>
      <c r="AR213" s="30" t="s">
        <v>417</v>
      </c>
      <c r="AS213" s="30" t="s">
        <v>245</v>
      </c>
      <c r="AT213" s="30" t="s">
        <v>245</v>
      </c>
      <c r="AU213" s="30" t="s">
        <v>245</v>
      </c>
      <c r="AV213" s="30" t="s">
        <v>1631</v>
      </c>
      <c r="AW213" s="30">
        <v>2020</v>
      </c>
      <c r="AX213" s="30">
        <v>718</v>
      </c>
      <c r="AY213" s="30" t="s">
        <v>245</v>
      </c>
      <c r="AZ213" s="30" t="s">
        <v>245</v>
      </c>
      <c r="BA213" s="30" t="s">
        <v>245</v>
      </c>
      <c r="BB213" s="30" t="s">
        <v>245</v>
      </c>
      <c r="BC213" s="30" t="s">
        <v>245</v>
      </c>
      <c r="BD213" s="30" t="s">
        <v>245</v>
      </c>
      <c r="BE213" s="30" t="s">
        <v>245</v>
      </c>
      <c r="BF213" s="30">
        <v>134748</v>
      </c>
      <c r="BG213" s="30" t="s">
        <v>1925</v>
      </c>
      <c r="BH213" s="30" t="str">
        <f>HYPERLINK("http://dx.doi.org/10.1016/j.scitotenv.2019.134748","http://dx.doi.org/10.1016/j.scitotenv.2019.134748")</f>
        <v>http://dx.doi.org/10.1016/j.scitotenv.2019.134748</v>
      </c>
      <c r="BI213" s="30" t="s">
        <v>245</v>
      </c>
      <c r="BJ213" s="30" t="s">
        <v>245</v>
      </c>
      <c r="BK213" s="30" t="s">
        <v>245</v>
      </c>
      <c r="BL213" s="30" t="s">
        <v>245</v>
      </c>
      <c r="BM213" s="30" t="s">
        <v>245</v>
      </c>
      <c r="BN213" s="30" t="s">
        <v>245</v>
      </c>
      <c r="BO213" s="30" t="s">
        <v>245</v>
      </c>
      <c r="BP213" s="30">
        <v>31848057</v>
      </c>
      <c r="BQ213" s="30" t="s">
        <v>245</v>
      </c>
      <c r="BR213" s="30" t="s">
        <v>245</v>
      </c>
      <c r="BS213" s="30" t="s">
        <v>245</v>
      </c>
      <c r="BT213" s="30" t="s">
        <v>245</v>
      </c>
      <c r="BU213" s="30" t="s">
        <v>1926</v>
      </c>
      <c r="BV213" s="30" t="str">
        <f>HYPERLINK("https%3A%2F%2Fwww.webofscience.com%2Fwos%2Fwoscc%2Ffull-record%2FWOS:000526029000114","View Full Record in Web of Science")</f>
        <v>View Full Record in Web of Science</v>
      </c>
    </row>
    <row r="214" spans="1:74" x14ac:dyDescent="0.2">
      <c r="A214" s="30" t="s">
        <v>243</v>
      </c>
      <c r="B214" s="30" t="s">
        <v>1927</v>
      </c>
      <c r="C214" s="30" t="s">
        <v>245</v>
      </c>
      <c r="D214" s="30" t="s">
        <v>245</v>
      </c>
      <c r="E214" s="30" t="s">
        <v>245</v>
      </c>
      <c r="F214" s="30" t="s">
        <v>1928</v>
      </c>
      <c r="G214" s="30" t="s">
        <v>245</v>
      </c>
      <c r="H214" s="30" t="s">
        <v>245</v>
      </c>
      <c r="I214" s="33" t="s">
        <v>2835</v>
      </c>
      <c r="K214" s="30" t="s">
        <v>1929</v>
      </c>
      <c r="L214" s="30" t="s">
        <v>1930</v>
      </c>
      <c r="M214" s="30" t="s">
        <v>245</v>
      </c>
      <c r="N214" s="30" t="s">
        <v>245</v>
      </c>
      <c r="O214" s="30" t="s">
        <v>245</v>
      </c>
      <c r="P214" s="30" t="s">
        <v>245</v>
      </c>
      <c r="Q214" s="30" t="s">
        <v>245</v>
      </c>
      <c r="R214" s="30" t="s">
        <v>245</v>
      </c>
      <c r="S214" s="30" t="s">
        <v>245</v>
      </c>
      <c r="T214" s="30" t="s">
        <v>245</v>
      </c>
      <c r="U214" s="30" t="s">
        <v>245</v>
      </c>
      <c r="V214" s="30" t="s">
        <v>245</v>
      </c>
      <c r="W214" s="30" t="s">
        <v>245</v>
      </c>
      <c r="X214" s="30" t="s">
        <v>245</v>
      </c>
      <c r="Y214" s="30" t="s">
        <v>245</v>
      </c>
      <c r="Z214" s="30" t="s">
        <v>245</v>
      </c>
      <c r="AA214" s="30" t="s">
        <v>245</v>
      </c>
      <c r="AB214" s="30" t="s">
        <v>245</v>
      </c>
      <c r="AC214" s="30" t="s">
        <v>1931</v>
      </c>
      <c r="AD214" s="30" t="s">
        <v>1932</v>
      </c>
      <c r="AE214" s="30" t="s">
        <v>245</v>
      </c>
      <c r="AF214" s="30" t="s">
        <v>245</v>
      </c>
      <c r="AG214" s="30" t="s">
        <v>245</v>
      </c>
      <c r="AH214" s="30" t="s">
        <v>245</v>
      </c>
      <c r="AI214" s="30" t="s">
        <v>245</v>
      </c>
      <c r="AJ214" s="30" t="s">
        <v>245</v>
      </c>
      <c r="AK214" s="30" t="s">
        <v>245</v>
      </c>
      <c r="AL214" s="30" t="s">
        <v>245</v>
      </c>
      <c r="AM214" s="30" t="s">
        <v>245</v>
      </c>
      <c r="AN214" s="30" t="s">
        <v>245</v>
      </c>
      <c r="AO214" s="30" t="s">
        <v>245</v>
      </c>
      <c r="AP214" s="30" t="s">
        <v>245</v>
      </c>
      <c r="AQ214" s="30" t="s">
        <v>1933</v>
      </c>
      <c r="AR214" s="30" t="s">
        <v>1934</v>
      </c>
      <c r="AS214" s="30" t="s">
        <v>245</v>
      </c>
      <c r="AT214" s="30" t="s">
        <v>245</v>
      </c>
      <c r="AU214" s="30" t="s">
        <v>245</v>
      </c>
      <c r="AV214" s="30" t="s">
        <v>481</v>
      </c>
      <c r="AW214" s="30">
        <v>2019</v>
      </c>
      <c r="AX214" s="30">
        <v>11</v>
      </c>
      <c r="AY214" s="30">
        <v>12</v>
      </c>
      <c r="AZ214" s="30" t="s">
        <v>245</v>
      </c>
      <c r="BA214" s="30" t="s">
        <v>245</v>
      </c>
      <c r="BB214" s="30" t="s">
        <v>245</v>
      </c>
      <c r="BC214" s="30" t="s">
        <v>245</v>
      </c>
      <c r="BD214" s="30">
        <v>1396</v>
      </c>
      <c r="BE214" s="30">
        <v>1407</v>
      </c>
      <c r="BF214" s="30" t="s">
        <v>245</v>
      </c>
      <c r="BG214" s="30" t="s">
        <v>1935</v>
      </c>
      <c r="BH214" s="30" t="str">
        <f>HYPERLINK("http://dx.doi.org/10.1111/gcbb.12642","http://dx.doi.org/10.1111/gcbb.12642")</f>
        <v>http://dx.doi.org/10.1111/gcbb.12642</v>
      </c>
      <c r="BI214" s="30" t="s">
        <v>245</v>
      </c>
      <c r="BJ214" s="30" t="s">
        <v>745</v>
      </c>
      <c r="BK214" s="30" t="s">
        <v>245</v>
      </c>
      <c r="BL214" s="30" t="s">
        <v>245</v>
      </c>
      <c r="BM214" s="30" t="s">
        <v>245</v>
      </c>
      <c r="BN214" s="30" t="s">
        <v>245</v>
      </c>
      <c r="BO214" s="30" t="s">
        <v>245</v>
      </c>
      <c r="BP214" s="30" t="s">
        <v>245</v>
      </c>
      <c r="BQ214" s="30" t="s">
        <v>245</v>
      </c>
      <c r="BR214" s="30" t="s">
        <v>245</v>
      </c>
      <c r="BS214" s="30" t="s">
        <v>245</v>
      </c>
      <c r="BT214" s="30" t="s">
        <v>245</v>
      </c>
      <c r="BU214" s="30" t="s">
        <v>1936</v>
      </c>
      <c r="BV214" s="30" t="str">
        <f>HYPERLINK("https%3A%2F%2Fwww.webofscience.com%2Fwos%2Fwoscc%2Ffull-record%2FWOS:000486592100001","View Full Record in Web of Science")</f>
        <v>View Full Record in Web of Science</v>
      </c>
    </row>
    <row r="215" spans="1:74" x14ac:dyDescent="0.2">
      <c r="A215" s="30" t="s">
        <v>243</v>
      </c>
      <c r="B215" s="30" t="s">
        <v>1937</v>
      </c>
      <c r="C215" s="30" t="s">
        <v>245</v>
      </c>
      <c r="D215" s="30" t="s">
        <v>245</v>
      </c>
      <c r="E215" s="30" t="s">
        <v>245</v>
      </c>
      <c r="F215" s="30" t="s">
        <v>1938</v>
      </c>
      <c r="G215" s="30" t="s">
        <v>245</v>
      </c>
      <c r="H215" s="30" t="s">
        <v>245</v>
      </c>
      <c r="I215" s="30" t="s">
        <v>2823</v>
      </c>
      <c r="K215" s="30" t="s">
        <v>1939</v>
      </c>
      <c r="L215" s="30" t="s">
        <v>1535</v>
      </c>
      <c r="M215" s="30" t="s">
        <v>245</v>
      </c>
      <c r="N215" s="30" t="s">
        <v>245</v>
      </c>
      <c r="O215" s="30" t="s">
        <v>245</v>
      </c>
      <c r="P215" s="30" t="s">
        <v>245</v>
      </c>
      <c r="Q215" s="30" t="s">
        <v>245</v>
      </c>
      <c r="R215" s="30" t="s">
        <v>245</v>
      </c>
      <c r="S215" s="30" t="s">
        <v>245</v>
      </c>
      <c r="T215" s="30" t="s">
        <v>245</v>
      </c>
      <c r="U215" s="30" t="s">
        <v>245</v>
      </c>
      <c r="V215" s="30" t="s">
        <v>245</v>
      </c>
      <c r="W215" s="30" t="s">
        <v>245</v>
      </c>
      <c r="X215" s="30" t="s">
        <v>245</v>
      </c>
      <c r="Y215" s="30" t="s">
        <v>245</v>
      </c>
      <c r="Z215" s="30" t="s">
        <v>245</v>
      </c>
      <c r="AA215" s="30" t="s">
        <v>245</v>
      </c>
      <c r="AB215" s="30" t="s">
        <v>245</v>
      </c>
      <c r="AC215" s="30" t="s">
        <v>1940</v>
      </c>
      <c r="AD215" s="30" t="s">
        <v>1941</v>
      </c>
      <c r="AE215" s="30" t="s">
        <v>245</v>
      </c>
      <c r="AF215" s="30" t="s">
        <v>245</v>
      </c>
      <c r="AG215" s="30" t="s">
        <v>245</v>
      </c>
      <c r="AH215" s="30" t="s">
        <v>245</v>
      </c>
      <c r="AI215" s="30" t="s">
        <v>245</v>
      </c>
      <c r="AJ215" s="30" t="s">
        <v>245</v>
      </c>
      <c r="AK215" s="30" t="s">
        <v>245</v>
      </c>
      <c r="AL215" s="30" t="s">
        <v>245</v>
      </c>
      <c r="AM215" s="30" t="s">
        <v>245</v>
      </c>
      <c r="AN215" s="30" t="s">
        <v>245</v>
      </c>
      <c r="AO215" s="30" t="s">
        <v>245</v>
      </c>
      <c r="AP215" s="30" t="s">
        <v>245</v>
      </c>
      <c r="AQ215" s="30" t="s">
        <v>1538</v>
      </c>
      <c r="AR215" s="30" t="s">
        <v>1539</v>
      </c>
      <c r="AS215" s="30" t="s">
        <v>245</v>
      </c>
      <c r="AT215" s="30" t="s">
        <v>245</v>
      </c>
      <c r="AU215" s="30" t="s">
        <v>245</v>
      </c>
      <c r="AV215" s="30" t="s">
        <v>297</v>
      </c>
      <c r="AW215" s="30">
        <v>2016</v>
      </c>
      <c r="AX215" s="30">
        <v>80</v>
      </c>
      <c r="AY215" s="30" t="s">
        <v>245</v>
      </c>
      <c r="AZ215" s="30" t="s">
        <v>245</v>
      </c>
      <c r="BA215" s="30" t="s">
        <v>245</v>
      </c>
      <c r="BB215" s="30" t="s">
        <v>245</v>
      </c>
      <c r="BC215" s="30" t="s">
        <v>245</v>
      </c>
      <c r="BD215" s="30">
        <v>78</v>
      </c>
      <c r="BE215" s="30">
        <v>87</v>
      </c>
      <c r="BF215" s="30" t="s">
        <v>245</v>
      </c>
      <c r="BG215" s="30" t="s">
        <v>1942</v>
      </c>
      <c r="BH215" s="30" t="str">
        <f>HYPERLINK("http://dx.doi.org/10.1016/j.eja.2016.07.001","http://dx.doi.org/10.1016/j.eja.2016.07.001")</f>
        <v>http://dx.doi.org/10.1016/j.eja.2016.07.001</v>
      </c>
      <c r="BI215" s="30" t="s">
        <v>245</v>
      </c>
      <c r="BJ215" s="30" t="s">
        <v>245</v>
      </c>
      <c r="BK215" s="30" t="s">
        <v>245</v>
      </c>
      <c r="BL215" s="30" t="s">
        <v>245</v>
      </c>
      <c r="BM215" s="30" t="s">
        <v>245</v>
      </c>
      <c r="BN215" s="30" t="s">
        <v>245</v>
      </c>
      <c r="BO215" s="30" t="s">
        <v>245</v>
      </c>
      <c r="BP215" s="30" t="s">
        <v>245</v>
      </c>
      <c r="BQ215" s="30" t="s">
        <v>245</v>
      </c>
      <c r="BR215" s="30" t="s">
        <v>245</v>
      </c>
      <c r="BS215" s="30" t="s">
        <v>245</v>
      </c>
      <c r="BT215" s="30" t="s">
        <v>245</v>
      </c>
      <c r="BU215" s="30" t="s">
        <v>1943</v>
      </c>
      <c r="BV215" s="30" t="str">
        <f>HYPERLINK("https%3A%2F%2Fwww.webofscience.com%2Fwos%2Fwoscc%2Ffull-record%2FWOS:000383942400008","View Full Record in Web of Science")</f>
        <v>View Full Record in Web of Science</v>
      </c>
    </row>
    <row r="216" spans="1:74" x14ac:dyDescent="0.2">
      <c r="A216" s="30" t="s">
        <v>243</v>
      </c>
      <c r="B216" s="30" t="s">
        <v>1944</v>
      </c>
      <c r="C216" s="30" t="s">
        <v>245</v>
      </c>
      <c r="D216" s="30" t="s">
        <v>245</v>
      </c>
      <c r="E216" s="30" t="s">
        <v>245</v>
      </c>
      <c r="F216" s="30" t="s">
        <v>1945</v>
      </c>
      <c r="G216" s="30" t="s">
        <v>245</v>
      </c>
      <c r="H216" s="30" t="s">
        <v>245</v>
      </c>
      <c r="I216" s="30" t="s">
        <v>2823</v>
      </c>
      <c r="K216" s="30" t="s">
        <v>1946</v>
      </c>
      <c r="L216" s="30" t="s">
        <v>1947</v>
      </c>
      <c r="M216" s="30" t="s">
        <v>245</v>
      </c>
      <c r="N216" s="30" t="s">
        <v>245</v>
      </c>
      <c r="O216" s="30" t="s">
        <v>245</v>
      </c>
      <c r="P216" s="30" t="s">
        <v>245</v>
      </c>
      <c r="Q216" s="30" t="s">
        <v>245</v>
      </c>
      <c r="R216" s="30" t="s">
        <v>245</v>
      </c>
      <c r="S216" s="30" t="s">
        <v>245</v>
      </c>
      <c r="T216" s="30" t="s">
        <v>245</v>
      </c>
      <c r="U216" s="30" t="s">
        <v>245</v>
      </c>
      <c r="V216" s="30" t="s">
        <v>245</v>
      </c>
      <c r="W216" s="30" t="s">
        <v>245</v>
      </c>
      <c r="X216" s="30" t="s">
        <v>245</v>
      </c>
      <c r="Y216" s="30" t="s">
        <v>245</v>
      </c>
      <c r="Z216" s="30" t="s">
        <v>245</v>
      </c>
      <c r="AA216" s="30" t="s">
        <v>245</v>
      </c>
      <c r="AB216" s="30" t="s">
        <v>245</v>
      </c>
      <c r="AC216" s="30" t="s">
        <v>1948</v>
      </c>
      <c r="AD216" s="30" t="s">
        <v>1949</v>
      </c>
      <c r="AE216" s="30" t="s">
        <v>245</v>
      </c>
      <c r="AF216" s="30" t="s">
        <v>245</v>
      </c>
      <c r="AG216" s="30" t="s">
        <v>245</v>
      </c>
      <c r="AH216" s="30" t="s">
        <v>245</v>
      </c>
      <c r="AI216" s="30" t="s">
        <v>245</v>
      </c>
      <c r="AJ216" s="30" t="s">
        <v>245</v>
      </c>
      <c r="AK216" s="30" t="s">
        <v>245</v>
      </c>
      <c r="AL216" s="30" t="s">
        <v>245</v>
      </c>
      <c r="AM216" s="30" t="s">
        <v>245</v>
      </c>
      <c r="AN216" s="30" t="s">
        <v>245</v>
      </c>
      <c r="AO216" s="30" t="s">
        <v>245</v>
      </c>
      <c r="AP216" s="30" t="s">
        <v>245</v>
      </c>
      <c r="AQ216" s="30" t="s">
        <v>1950</v>
      </c>
      <c r="AR216" s="30" t="s">
        <v>1951</v>
      </c>
      <c r="AS216" s="30" t="s">
        <v>245</v>
      </c>
      <c r="AT216" s="30" t="s">
        <v>245</v>
      </c>
      <c r="AU216" s="30" t="s">
        <v>245</v>
      </c>
      <c r="AV216" s="30" t="s">
        <v>297</v>
      </c>
      <c r="AW216" s="30">
        <v>2022</v>
      </c>
      <c r="AX216" s="30">
        <v>38</v>
      </c>
      <c r="AY216" s="30">
        <v>4</v>
      </c>
      <c r="AZ216" s="30" t="s">
        <v>245</v>
      </c>
      <c r="BA216" s="30" t="s">
        <v>245</v>
      </c>
      <c r="BB216" s="30" t="s">
        <v>245</v>
      </c>
      <c r="BC216" s="30" t="s">
        <v>245</v>
      </c>
      <c r="BD216" s="30">
        <v>1597</v>
      </c>
      <c r="BE216" s="30">
        <v>1613</v>
      </c>
      <c r="BF216" s="30" t="s">
        <v>245</v>
      </c>
      <c r="BG216" s="30" t="s">
        <v>1952</v>
      </c>
      <c r="BH216" s="30" t="str">
        <f>HYPERLINK("http://dx.doi.org/10.1111/sum.12822","http://dx.doi.org/10.1111/sum.12822")</f>
        <v>http://dx.doi.org/10.1111/sum.12822</v>
      </c>
      <c r="BI216" s="30" t="s">
        <v>245</v>
      </c>
      <c r="BJ216" s="30" t="s">
        <v>1953</v>
      </c>
      <c r="BK216" s="30" t="s">
        <v>245</v>
      </c>
      <c r="BL216" s="30" t="s">
        <v>245</v>
      </c>
      <c r="BM216" s="30" t="s">
        <v>245</v>
      </c>
      <c r="BN216" s="30" t="s">
        <v>245</v>
      </c>
      <c r="BO216" s="30" t="s">
        <v>245</v>
      </c>
      <c r="BP216" s="30" t="s">
        <v>245</v>
      </c>
      <c r="BQ216" s="30" t="s">
        <v>245</v>
      </c>
      <c r="BR216" s="30" t="s">
        <v>245</v>
      </c>
      <c r="BS216" s="30" t="s">
        <v>245</v>
      </c>
      <c r="BT216" s="30" t="s">
        <v>245</v>
      </c>
      <c r="BU216" s="30" t="s">
        <v>1954</v>
      </c>
      <c r="BV216" s="30" t="str">
        <f>HYPERLINK("https%3A%2F%2Fwww.webofscience.com%2Fwos%2Fwoscc%2Ffull-record%2FWOS:000798914600001","View Full Record in Web of Science")</f>
        <v>View Full Record in Web of Science</v>
      </c>
    </row>
    <row r="217" spans="1:74" x14ac:dyDescent="0.2">
      <c r="A217" s="30" t="s">
        <v>243</v>
      </c>
      <c r="B217" s="30" t="s">
        <v>1955</v>
      </c>
      <c r="C217" s="30" t="s">
        <v>245</v>
      </c>
      <c r="D217" s="30" t="s">
        <v>245</v>
      </c>
      <c r="E217" s="30" t="s">
        <v>245</v>
      </c>
      <c r="F217" s="30" t="s">
        <v>1956</v>
      </c>
      <c r="G217" s="30" t="s">
        <v>245</v>
      </c>
      <c r="H217" s="30" t="s">
        <v>245</v>
      </c>
      <c r="I217" s="30" t="s">
        <v>2823</v>
      </c>
      <c r="K217" s="30" t="s">
        <v>1957</v>
      </c>
      <c r="L217" s="30" t="s">
        <v>1608</v>
      </c>
      <c r="M217" s="30" t="s">
        <v>245</v>
      </c>
      <c r="N217" s="30" t="s">
        <v>245</v>
      </c>
      <c r="O217" s="30" t="s">
        <v>245</v>
      </c>
      <c r="P217" s="30" t="s">
        <v>245</v>
      </c>
      <c r="Q217" s="30" t="s">
        <v>1958</v>
      </c>
      <c r="R217" s="30" t="s">
        <v>1959</v>
      </c>
      <c r="S217" s="30" t="s">
        <v>1960</v>
      </c>
      <c r="T217" s="30" t="s">
        <v>245</v>
      </c>
      <c r="U217" s="30" t="s">
        <v>245</v>
      </c>
      <c r="V217" s="30" t="s">
        <v>245</v>
      </c>
      <c r="W217" s="30" t="s">
        <v>245</v>
      </c>
      <c r="X217" s="30" t="s">
        <v>245</v>
      </c>
      <c r="Y217" s="30" t="s">
        <v>245</v>
      </c>
      <c r="Z217" s="30" t="s">
        <v>245</v>
      </c>
      <c r="AA217" s="30" t="s">
        <v>245</v>
      </c>
      <c r="AB217" s="30" t="s">
        <v>245</v>
      </c>
      <c r="AC217" s="30" t="s">
        <v>1961</v>
      </c>
      <c r="AD217" s="30" t="s">
        <v>1962</v>
      </c>
      <c r="AE217" s="30" t="s">
        <v>245</v>
      </c>
      <c r="AF217" s="30" t="s">
        <v>245</v>
      </c>
      <c r="AG217" s="30" t="s">
        <v>245</v>
      </c>
      <c r="AH217" s="30" t="s">
        <v>245</v>
      </c>
      <c r="AI217" s="30" t="s">
        <v>245</v>
      </c>
      <c r="AJ217" s="30" t="s">
        <v>245</v>
      </c>
      <c r="AK217" s="30" t="s">
        <v>245</v>
      </c>
      <c r="AL217" s="30" t="s">
        <v>245</v>
      </c>
      <c r="AM217" s="30" t="s">
        <v>245</v>
      </c>
      <c r="AN217" s="30" t="s">
        <v>245</v>
      </c>
      <c r="AO217" s="30" t="s">
        <v>245</v>
      </c>
      <c r="AP217" s="30" t="s">
        <v>245</v>
      </c>
      <c r="AQ217" s="30" t="s">
        <v>1610</v>
      </c>
      <c r="AR217" s="30" t="s">
        <v>1611</v>
      </c>
      <c r="AS217" s="30" t="s">
        <v>245</v>
      </c>
      <c r="AT217" s="30" t="s">
        <v>245</v>
      </c>
      <c r="AU217" s="30" t="s">
        <v>245</v>
      </c>
      <c r="AV217" s="30" t="s">
        <v>286</v>
      </c>
      <c r="AW217" s="30">
        <v>2016</v>
      </c>
      <c r="AX217" s="30">
        <v>23</v>
      </c>
      <c r="AY217" s="30">
        <v>2</v>
      </c>
      <c r="AZ217" s="30" t="s">
        <v>245</v>
      </c>
      <c r="BA217" s="30" t="s">
        <v>245</v>
      </c>
      <c r="BB217" s="30" t="s">
        <v>245</v>
      </c>
      <c r="BC217" s="30" t="s">
        <v>245</v>
      </c>
      <c r="BD217" s="30">
        <v>1873</v>
      </c>
      <c r="BE217" s="30">
        <v>1885</v>
      </c>
      <c r="BF217" s="30" t="s">
        <v>245</v>
      </c>
      <c r="BG217" s="30" t="s">
        <v>1963</v>
      </c>
      <c r="BH217" s="30" t="str">
        <f>HYPERLINK("http://dx.doi.org/10.1007/s11356-015-5440-4","http://dx.doi.org/10.1007/s11356-015-5440-4")</f>
        <v>http://dx.doi.org/10.1007/s11356-015-5440-4</v>
      </c>
      <c r="BI217" s="30" t="s">
        <v>245</v>
      </c>
      <c r="BJ217" s="30" t="s">
        <v>245</v>
      </c>
      <c r="BK217" s="30" t="s">
        <v>245</v>
      </c>
      <c r="BL217" s="30" t="s">
        <v>245</v>
      </c>
      <c r="BM217" s="30" t="s">
        <v>245</v>
      </c>
      <c r="BN217" s="30" t="s">
        <v>245</v>
      </c>
      <c r="BO217" s="30" t="s">
        <v>245</v>
      </c>
      <c r="BP217" s="30">
        <v>26408111</v>
      </c>
      <c r="BQ217" s="30" t="s">
        <v>245</v>
      </c>
      <c r="BR217" s="30" t="s">
        <v>245</v>
      </c>
      <c r="BS217" s="30" t="s">
        <v>245</v>
      </c>
      <c r="BT217" s="30" t="s">
        <v>245</v>
      </c>
      <c r="BU217" s="30" t="s">
        <v>1964</v>
      </c>
      <c r="BV217" s="30" t="str">
        <f>HYPERLINK("https%3A%2F%2Fwww.webofscience.com%2Fwos%2Fwoscc%2Ffull-record%2FWOS:000368200200088","View Full Record in Web of Science")</f>
        <v>View Full Record in Web of Science</v>
      </c>
    </row>
    <row r="218" spans="1:74" x14ac:dyDescent="0.2">
      <c r="A218" s="30" t="s">
        <v>243</v>
      </c>
      <c r="B218" s="30" t="s">
        <v>1965</v>
      </c>
      <c r="C218" s="30" t="s">
        <v>245</v>
      </c>
      <c r="D218" s="30" t="s">
        <v>245</v>
      </c>
      <c r="E218" s="30" t="s">
        <v>245</v>
      </c>
      <c r="F218" s="30" t="s">
        <v>1965</v>
      </c>
      <c r="G218" s="30" t="s">
        <v>245</v>
      </c>
      <c r="H218" s="30" t="s">
        <v>245</v>
      </c>
      <c r="I218" s="30" t="s">
        <v>2823</v>
      </c>
      <c r="K218" s="30" t="s">
        <v>1966</v>
      </c>
      <c r="L218" s="30" t="s">
        <v>875</v>
      </c>
      <c r="M218" s="30" t="s">
        <v>245</v>
      </c>
      <c r="N218" s="30" t="s">
        <v>245</v>
      </c>
      <c r="O218" s="30" t="s">
        <v>245</v>
      </c>
      <c r="P218" s="30" t="s">
        <v>245</v>
      </c>
      <c r="Q218" s="30" t="s">
        <v>245</v>
      </c>
      <c r="R218" s="30" t="s">
        <v>245</v>
      </c>
      <c r="S218" s="30" t="s">
        <v>245</v>
      </c>
      <c r="T218" s="30" t="s">
        <v>245</v>
      </c>
      <c r="U218" s="30" t="s">
        <v>245</v>
      </c>
      <c r="V218" s="30" t="s">
        <v>245</v>
      </c>
      <c r="W218" s="30" t="s">
        <v>245</v>
      </c>
      <c r="X218" s="30" t="s">
        <v>245</v>
      </c>
      <c r="Y218" s="30" t="s">
        <v>245</v>
      </c>
      <c r="Z218" s="30" t="s">
        <v>245</v>
      </c>
      <c r="AA218" s="30" t="s">
        <v>245</v>
      </c>
      <c r="AB218" s="30" t="s">
        <v>245</v>
      </c>
      <c r="AC218" s="30" t="s">
        <v>245</v>
      </c>
      <c r="AD218" s="30" t="s">
        <v>245</v>
      </c>
      <c r="AE218" s="30" t="s">
        <v>245</v>
      </c>
      <c r="AF218" s="30" t="s">
        <v>245</v>
      </c>
      <c r="AG218" s="30" t="s">
        <v>245</v>
      </c>
      <c r="AH218" s="30" t="s">
        <v>245</v>
      </c>
      <c r="AI218" s="30" t="s">
        <v>245</v>
      </c>
      <c r="AJ218" s="30" t="s">
        <v>245</v>
      </c>
      <c r="AK218" s="30" t="s">
        <v>245</v>
      </c>
      <c r="AL218" s="30" t="s">
        <v>245</v>
      </c>
      <c r="AM218" s="30" t="s">
        <v>245</v>
      </c>
      <c r="AN218" s="30" t="s">
        <v>245</v>
      </c>
      <c r="AO218" s="30" t="s">
        <v>245</v>
      </c>
      <c r="AP218" s="30" t="s">
        <v>245</v>
      </c>
      <c r="AQ218" s="30" t="s">
        <v>878</v>
      </c>
      <c r="AR218" s="30" t="s">
        <v>245</v>
      </c>
      <c r="AS218" s="30" t="s">
        <v>245</v>
      </c>
      <c r="AT218" s="30" t="s">
        <v>245</v>
      </c>
      <c r="AU218" s="30" t="s">
        <v>245</v>
      </c>
      <c r="AV218" s="30" t="s">
        <v>354</v>
      </c>
      <c r="AW218" s="30">
        <v>1998</v>
      </c>
      <c r="AX218" s="30">
        <v>25</v>
      </c>
      <c r="AY218" s="30">
        <v>4</v>
      </c>
      <c r="AZ218" s="30" t="s">
        <v>245</v>
      </c>
      <c r="BA218" s="30" t="s">
        <v>245</v>
      </c>
      <c r="BB218" s="30" t="s">
        <v>245</v>
      </c>
      <c r="BC218" s="30" t="s">
        <v>245</v>
      </c>
      <c r="BD218" s="30">
        <v>331</v>
      </c>
      <c r="BE218" s="30">
        <v>339</v>
      </c>
      <c r="BF218" s="30" t="s">
        <v>245</v>
      </c>
      <c r="BG218" s="30" t="s">
        <v>245</v>
      </c>
      <c r="BH218" s="30" t="s">
        <v>245</v>
      </c>
      <c r="BI218" s="30" t="s">
        <v>245</v>
      </c>
      <c r="BJ218" s="30" t="s">
        <v>245</v>
      </c>
      <c r="BK218" s="30" t="s">
        <v>245</v>
      </c>
      <c r="BL218" s="30" t="s">
        <v>245</v>
      </c>
      <c r="BM218" s="30" t="s">
        <v>245</v>
      </c>
      <c r="BN218" s="30" t="s">
        <v>245</v>
      </c>
      <c r="BO218" s="30" t="s">
        <v>245</v>
      </c>
      <c r="BP218" s="30" t="s">
        <v>245</v>
      </c>
      <c r="BQ218" s="30" t="s">
        <v>245</v>
      </c>
      <c r="BR218" s="30" t="s">
        <v>245</v>
      </c>
      <c r="BS218" s="30" t="s">
        <v>245</v>
      </c>
      <c r="BT218" s="30" t="s">
        <v>245</v>
      </c>
      <c r="BU218" s="30" t="s">
        <v>1967</v>
      </c>
      <c r="BV218" s="30" t="str">
        <f>HYPERLINK("https%3A%2F%2Fwww.webofscience.com%2Fwos%2Fwoscc%2Ffull-record%2FWOS:000073142200002","View Full Record in Web of Science")</f>
        <v>View Full Record in Web of Science</v>
      </c>
    </row>
    <row r="219" spans="1:74" x14ac:dyDescent="0.2">
      <c r="A219" s="30" t="s">
        <v>243</v>
      </c>
      <c r="B219" s="30" t="s">
        <v>1968</v>
      </c>
      <c r="C219" s="30" t="s">
        <v>245</v>
      </c>
      <c r="D219" s="30" t="s">
        <v>245</v>
      </c>
      <c r="E219" s="30" t="s">
        <v>245</v>
      </c>
      <c r="F219" s="30" t="s">
        <v>1969</v>
      </c>
      <c r="G219" s="30" t="s">
        <v>245</v>
      </c>
      <c r="H219" s="30" t="s">
        <v>245</v>
      </c>
      <c r="I219" s="30" t="s">
        <v>2823</v>
      </c>
      <c r="K219" s="30" t="s">
        <v>1970</v>
      </c>
      <c r="L219" s="30" t="s">
        <v>1015</v>
      </c>
      <c r="M219" s="30" t="s">
        <v>245</v>
      </c>
      <c r="N219" s="30" t="s">
        <v>245</v>
      </c>
      <c r="O219" s="30" t="s">
        <v>245</v>
      </c>
      <c r="P219" s="30" t="s">
        <v>245</v>
      </c>
      <c r="Q219" s="30" t="s">
        <v>245</v>
      </c>
      <c r="R219" s="30" t="s">
        <v>245</v>
      </c>
      <c r="S219" s="30" t="s">
        <v>245</v>
      </c>
      <c r="T219" s="30" t="s">
        <v>245</v>
      </c>
      <c r="U219" s="30" t="s">
        <v>245</v>
      </c>
      <c r="V219" s="30" t="s">
        <v>245</v>
      </c>
      <c r="W219" s="30" t="s">
        <v>245</v>
      </c>
      <c r="X219" s="30" t="s">
        <v>245</v>
      </c>
      <c r="Y219" s="30" t="s">
        <v>245</v>
      </c>
      <c r="Z219" s="30" t="s">
        <v>245</v>
      </c>
      <c r="AA219" s="30" t="s">
        <v>245</v>
      </c>
      <c r="AB219" s="30" t="s">
        <v>245</v>
      </c>
      <c r="AC219" s="30" t="s">
        <v>1971</v>
      </c>
      <c r="AD219" s="30" t="s">
        <v>1972</v>
      </c>
      <c r="AE219" s="30" t="s">
        <v>245</v>
      </c>
      <c r="AF219" s="30" t="s">
        <v>245</v>
      </c>
      <c r="AG219" s="30" t="s">
        <v>245</v>
      </c>
      <c r="AH219" s="30" t="s">
        <v>245</v>
      </c>
      <c r="AI219" s="30" t="s">
        <v>245</v>
      </c>
      <c r="AJ219" s="30" t="s">
        <v>245</v>
      </c>
      <c r="AK219" s="30" t="s">
        <v>245</v>
      </c>
      <c r="AL219" s="30" t="s">
        <v>245</v>
      </c>
      <c r="AM219" s="30" t="s">
        <v>245</v>
      </c>
      <c r="AN219" s="30" t="s">
        <v>245</v>
      </c>
      <c r="AO219" s="30" t="s">
        <v>245</v>
      </c>
      <c r="AP219" s="30" t="s">
        <v>245</v>
      </c>
      <c r="AQ219" s="30" t="s">
        <v>1018</v>
      </c>
      <c r="AR219" s="30" t="s">
        <v>1019</v>
      </c>
      <c r="AS219" s="30" t="s">
        <v>245</v>
      </c>
      <c r="AT219" s="30" t="s">
        <v>245</v>
      </c>
      <c r="AU219" s="30" t="s">
        <v>245</v>
      </c>
      <c r="AV219" s="30" t="s">
        <v>454</v>
      </c>
      <c r="AW219" s="30">
        <v>2018</v>
      </c>
      <c r="AX219" s="30">
        <v>140</v>
      </c>
      <c r="AY219" s="30">
        <v>2</v>
      </c>
      <c r="AZ219" s="30" t="s">
        <v>245</v>
      </c>
      <c r="BA219" s="30" t="s">
        <v>245</v>
      </c>
      <c r="BB219" s="30" t="s">
        <v>245</v>
      </c>
      <c r="BC219" s="30" t="s">
        <v>245</v>
      </c>
      <c r="BD219" s="30">
        <v>217</v>
      </c>
      <c r="BE219" s="30">
        <v>232</v>
      </c>
      <c r="BF219" s="30" t="s">
        <v>245</v>
      </c>
      <c r="BG219" s="30" t="s">
        <v>1973</v>
      </c>
      <c r="BH219" s="30" t="str">
        <f>HYPERLINK("http://dx.doi.org/10.1007/s10533-018-0486-2","http://dx.doi.org/10.1007/s10533-018-0486-2")</f>
        <v>http://dx.doi.org/10.1007/s10533-018-0486-2</v>
      </c>
      <c r="BI219" s="30" t="s">
        <v>245</v>
      </c>
      <c r="BJ219" s="30" t="s">
        <v>245</v>
      </c>
      <c r="BK219" s="30" t="s">
        <v>245</v>
      </c>
      <c r="BL219" s="30" t="s">
        <v>245</v>
      </c>
      <c r="BM219" s="30" t="s">
        <v>245</v>
      </c>
      <c r="BN219" s="30" t="s">
        <v>245</v>
      </c>
      <c r="BO219" s="30" t="s">
        <v>245</v>
      </c>
      <c r="BP219" s="30" t="s">
        <v>245</v>
      </c>
      <c r="BQ219" s="30" t="s">
        <v>245</v>
      </c>
      <c r="BR219" s="30" t="s">
        <v>245</v>
      </c>
      <c r="BS219" s="30" t="s">
        <v>245</v>
      </c>
      <c r="BT219" s="30" t="s">
        <v>245</v>
      </c>
      <c r="BU219" s="30" t="s">
        <v>1974</v>
      </c>
      <c r="BV219" s="30" t="str">
        <f>HYPERLINK("https%3A%2F%2Fwww.webofscience.com%2Fwos%2Fwoscc%2Ffull-record%2FWOS:000443287600006","View Full Record in Web of Science")</f>
        <v>View Full Record in Web of Science</v>
      </c>
    </row>
    <row r="220" spans="1:74" x14ac:dyDescent="0.2">
      <c r="A220" s="30" t="s">
        <v>243</v>
      </c>
      <c r="B220" s="30" t="s">
        <v>1975</v>
      </c>
      <c r="C220" s="30" t="s">
        <v>245</v>
      </c>
      <c r="D220" s="30" t="s">
        <v>245</v>
      </c>
      <c r="E220" s="30" t="s">
        <v>245</v>
      </c>
      <c r="F220" s="30" t="s">
        <v>1976</v>
      </c>
      <c r="G220" s="30" t="s">
        <v>245</v>
      </c>
      <c r="H220" s="30" t="s">
        <v>245</v>
      </c>
      <c r="K220" s="30" t="s">
        <v>92</v>
      </c>
      <c r="L220" s="30" t="s">
        <v>587</v>
      </c>
      <c r="M220" s="30" t="s">
        <v>245</v>
      </c>
      <c r="N220" s="30" t="s">
        <v>245</v>
      </c>
      <c r="O220" s="30" t="s">
        <v>245</v>
      </c>
      <c r="P220" s="30" t="s">
        <v>245</v>
      </c>
      <c r="Q220" s="30" t="s">
        <v>245</v>
      </c>
      <c r="R220" s="30" t="s">
        <v>245</v>
      </c>
      <c r="S220" s="30" t="s">
        <v>245</v>
      </c>
      <c r="T220" s="30" t="s">
        <v>245</v>
      </c>
      <c r="U220" s="30" t="s">
        <v>245</v>
      </c>
      <c r="V220" s="30" t="s">
        <v>245</v>
      </c>
      <c r="W220" s="30" t="s">
        <v>245</v>
      </c>
      <c r="X220" s="30" t="s">
        <v>245</v>
      </c>
      <c r="Y220" s="30" t="s">
        <v>245</v>
      </c>
      <c r="Z220" s="30" t="s">
        <v>245</v>
      </c>
      <c r="AA220" s="30" t="s">
        <v>245</v>
      </c>
      <c r="AB220" s="30" t="s">
        <v>245</v>
      </c>
      <c r="AC220" s="30" t="s">
        <v>1977</v>
      </c>
      <c r="AD220" s="30" t="s">
        <v>1978</v>
      </c>
      <c r="AE220" s="30" t="s">
        <v>245</v>
      </c>
      <c r="AF220" s="30" t="s">
        <v>245</v>
      </c>
      <c r="AG220" s="30" t="s">
        <v>245</v>
      </c>
      <c r="AH220" s="30" t="s">
        <v>245</v>
      </c>
      <c r="AI220" s="30" t="s">
        <v>245</v>
      </c>
      <c r="AJ220" s="30" t="s">
        <v>245</v>
      </c>
      <c r="AK220" s="30" t="s">
        <v>245</v>
      </c>
      <c r="AL220" s="30" t="s">
        <v>245</v>
      </c>
      <c r="AM220" s="30" t="s">
        <v>245</v>
      </c>
      <c r="AN220" s="30" t="s">
        <v>245</v>
      </c>
      <c r="AO220" s="30" t="s">
        <v>245</v>
      </c>
      <c r="AP220" s="30" t="s">
        <v>245</v>
      </c>
      <c r="AQ220" s="30" t="s">
        <v>590</v>
      </c>
      <c r="AR220" s="30" t="s">
        <v>591</v>
      </c>
      <c r="AS220" s="30" t="s">
        <v>245</v>
      </c>
      <c r="AT220" s="30" t="s">
        <v>245</v>
      </c>
      <c r="AU220" s="30" t="s">
        <v>245</v>
      </c>
      <c r="AV220" s="30" t="s">
        <v>297</v>
      </c>
      <c r="AW220" s="30">
        <v>2014</v>
      </c>
      <c r="AX220" s="30">
        <v>177</v>
      </c>
      <c r="AY220" s="30">
        <v>5</v>
      </c>
      <c r="AZ220" s="30" t="s">
        <v>245</v>
      </c>
      <c r="BA220" s="30" t="s">
        <v>245</v>
      </c>
      <c r="BB220" s="30" t="s">
        <v>245</v>
      </c>
      <c r="BC220" s="30" t="s">
        <v>245</v>
      </c>
      <c r="BD220" s="30">
        <v>722</v>
      </c>
      <c r="BE220" s="30">
        <v>732</v>
      </c>
      <c r="BF220" s="30" t="s">
        <v>245</v>
      </c>
      <c r="BG220" s="30" t="s">
        <v>1979</v>
      </c>
      <c r="BH220" s="30" t="str">
        <f>HYPERLINK("http://dx.doi.org/10.1002/jpln.201300292","http://dx.doi.org/10.1002/jpln.201300292")</f>
        <v>http://dx.doi.org/10.1002/jpln.201300292</v>
      </c>
      <c r="BI220" s="30" t="s">
        <v>245</v>
      </c>
      <c r="BJ220" s="30" t="s">
        <v>245</v>
      </c>
      <c r="BK220" s="30" t="s">
        <v>245</v>
      </c>
      <c r="BL220" s="30" t="s">
        <v>245</v>
      </c>
      <c r="BM220" s="30" t="s">
        <v>245</v>
      </c>
      <c r="BN220" s="30" t="s">
        <v>245</v>
      </c>
      <c r="BO220" s="30" t="s">
        <v>245</v>
      </c>
      <c r="BP220" s="30" t="s">
        <v>245</v>
      </c>
      <c r="BQ220" s="30" t="s">
        <v>245</v>
      </c>
      <c r="BR220" s="30" t="s">
        <v>245</v>
      </c>
      <c r="BS220" s="30" t="s">
        <v>245</v>
      </c>
      <c r="BT220" s="30" t="s">
        <v>245</v>
      </c>
      <c r="BU220" s="30" t="s">
        <v>1980</v>
      </c>
      <c r="BV220" s="30" t="str">
        <f>HYPERLINK("https%3A%2F%2Fwww.webofscience.com%2Fwos%2Fwoscc%2Ffull-record%2FWOS:000342852200007","View Full Record in Web of Science")</f>
        <v>View Full Record in Web of Science</v>
      </c>
    </row>
    <row r="221" spans="1:74" x14ac:dyDescent="0.2">
      <c r="A221" s="30" t="s">
        <v>243</v>
      </c>
      <c r="B221" s="30" t="s">
        <v>1981</v>
      </c>
      <c r="C221" s="30" t="s">
        <v>245</v>
      </c>
      <c r="D221" s="30" t="s">
        <v>245</v>
      </c>
      <c r="E221" s="30" t="s">
        <v>245</v>
      </c>
      <c r="F221" s="30" t="s">
        <v>1982</v>
      </c>
      <c r="G221" s="30" t="s">
        <v>245</v>
      </c>
      <c r="H221" s="30" t="s">
        <v>245</v>
      </c>
      <c r="I221" s="30" t="s">
        <v>2819</v>
      </c>
      <c r="K221" s="30" t="s">
        <v>1983</v>
      </c>
      <c r="L221" s="30" t="s">
        <v>1984</v>
      </c>
      <c r="M221" s="30" t="s">
        <v>245</v>
      </c>
      <c r="N221" s="30" t="s">
        <v>245</v>
      </c>
      <c r="O221" s="30" t="s">
        <v>245</v>
      </c>
      <c r="P221" s="30" t="s">
        <v>245</v>
      </c>
      <c r="Q221" s="30" t="s">
        <v>245</v>
      </c>
      <c r="R221" s="30" t="s">
        <v>245</v>
      </c>
      <c r="S221" s="30" t="s">
        <v>245</v>
      </c>
      <c r="T221" s="30" t="s">
        <v>245</v>
      </c>
      <c r="U221" s="30" t="s">
        <v>245</v>
      </c>
      <c r="V221" s="30" t="s">
        <v>245</v>
      </c>
      <c r="W221" s="30" t="s">
        <v>245</v>
      </c>
      <c r="X221" s="30" t="s">
        <v>245</v>
      </c>
      <c r="Y221" s="30" t="s">
        <v>245</v>
      </c>
      <c r="Z221" s="30" t="s">
        <v>245</v>
      </c>
      <c r="AA221" s="30" t="s">
        <v>245</v>
      </c>
      <c r="AB221" s="30" t="s">
        <v>245</v>
      </c>
      <c r="AC221" s="30" t="s">
        <v>245</v>
      </c>
      <c r="AD221" s="30" t="s">
        <v>1985</v>
      </c>
      <c r="AE221" s="30" t="s">
        <v>245</v>
      </c>
      <c r="AF221" s="30" t="s">
        <v>245</v>
      </c>
      <c r="AG221" s="30" t="s">
        <v>245</v>
      </c>
      <c r="AH221" s="30" t="s">
        <v>245</v>
      </c>
      <c r="AI221" s="30" t="s">
        <v>245</v>
      </c>
      <c r="AJ221" s="30" t="s">
        <v>245</v>
      </c>
      <c r="AK221" s="30" t="s">
        <v>245</v>
      </c>
      <c r="AL221" s="30" t="s">
        <v>245</v>
      </c>
      <c r="AM221" s="30" t="s">
        <v>245</v>
      </c>
      <c r="AN221" s="30" t="s">
        <v>245</v>
      </c>
      <c r="AO221" s="30" t="s">
        <v>245</v>
      </c>
      <c r="AP221" s="30" t="s">
        <v>245</v>
      </c>
      <c r="AQ221" s="30" t="s">
        <v>1986</v>
      </c>
      <c r="AR221" s="30" t="s">
        <v>1987</v>
      </c>
      <c r="AS221" s="30" t="s">
        <v>245</v>
      </c>
      <c r="AT221" s="30" t="s">
        <v>245</v>
      </c>
      <c r="AU221" s="30" t="s">
        <v>245</v>
      </c>
      <c r="AV221" s="30" t="s">
        <v>1988</v>
      </c>
      <c r="AW221" s="30">
        <v>2024</v>
      </c>
      <c r="AX221" s="30">
        <v>90</v>
      </c>
      <c r="AY221" s="30">
        <v>3</v>
      </c>
      <c r="AZ221" s="30" t="s">
        <v>245</v>
      </c>
      <c r="BA221" s="30" t="s">
        <v>245</v>
      </c>
      <c r="BB221" s="30" t="s">
        <v>245</v>
      </c>
      <c r="BC221" s="30" t="s">
        <v>245</v>
      </c>
      <c r="BD221" s="30">
        <v>680</v>
      </c>
      <c r="BE221" s="30">
        <v>695</v>
      </c>
      <c r="BF221" s="30" t="s">
        <v>245</v>
      </c>
      <c r="BG221" s="30" t="s">
        <v>1989</v>
      </c>
      <c r="BH221" s="30" t="str">
        <f>HYPERLINK("http://dx.doi.org/10.2166/wst.2024.247","http://dx.doi.org/10.2166/wst.2024.247")</f>
        <v>http://dx.doi.org/10.2166/wst.2024.247</v>
      </c>
      <c r="BI221" s="30" t="s">
        <v>245</v>
      </c>
      <c r="BJ221" s="30" t="s">
        <v>718</v>
      </c>
      <c r="BK221" s="30" t="s">
        <v>245</v>
      </c>
      <c r="BL221" s="30" t="s">
        <v>245</v>
      </c>
      <c r="BM221" s="30" t="s">
        <v>245</v>
      </c>
      <c r="BN221" s="30" t="s">
        <v>245</v>
      </c>
      <c r="BO221" s="30" t="s">
        <v>245</v>
      </c>
      <c r="BP221" s="30">
        <v>39141029</v>
      </c>
      <c r="BQ221" s="30" t="s">
        <v>245</v>
      </c>
      <c r="BR221" s="30" t="s">
        <v>245</v>
      </c>
      <c r="BS221" s="30" t="s">
        <v>245</v>
      </c>
      <c r="BT221" s="30" t="s">
        <v>245</v>
      </c>
      <c r="BU221" s="30" t="s">
        <v>1990</v>
      </c>
      <c r="BV221" s="30" t="str">
        <f>HYPERLINK("https%3A%2F%2Fwww.webofscience.com%2Fwos%2Fwoscc%2Ffull-record%2FWOS:001273117700001","View Full Record in Web of Science")</f>
        <v>View Full Record in Web of Science</v>
      </c>
    </row>
    <row r="222" spans="1:74" x14ac:dyDescent="0.2">
      <c r="A222" s="30" t="s">
        <v>243</v>
      </c>
      <c r="B222" s="30" t="s">
        <v>1991</v>
      </c>
      <c r="C222" s="30" t="s">
        <v>245</v>
      </c>
      <c r="D222" s="30" t="s">
        <v>245</v>
      </c>
      <c r="E222" s="30" t="s">
        <v>245</v>
      </c>
      <c r="F222" s="30" t="s">
        <v>1991</v>
      </c>
      <c r="G222" s="30" t="s">
        <v>245</v>
      </c>
      <c r="H222" s="30" t="s">
        <v>245</v>
      </c>
      <c r="I222" s="30" t="s">
        <v>2826</v>
      </c>
      <c r="K222" s="30" t="s">
        <v>1992</v>
      </c>
      <c r="L222" s="30" t="s">
        <v>282</v>
      </c>
      <c r="M222" s="30" t="s">
        <v>245</v>
      </c>
      <c r="N222" s="30" t="s">
        <v>245</v>
      </c>
      <c r="O222" s="30" t="s">
        <v>245</v>
      </c>
      <c r="P222" s="30" t="s">
        <v>245</v>
      </c>
      <c r="Q222" s="30" t="s">
        <v>245</v>
      </c>
      <c r="R222" s="30" t="s">
        <v>245</v>
      </c>
      <c r="S222" s="30" t="s">
        <v>245</v>
      </c>
      <c r="T222" s="30" t="s">
        <v>245</v>
      </c>
      <c r="U222" s="30" t="s">
        <v>245</v>
      </c>
      <c r="V222" s="30" t="s">
        <v>245</v>
      </c>
      <c r="W222" s="30" t="s">
        <v>245</v>
      </c>
      <c r="X222" s="30" t="s">
        <v>245</v>
      </c>
      <c r="Y222" s="30" t="s">
        <v>245</v>
      </c>
      <c r="Z222" s="30" t="s">
        <v>245</v>
      </c>
      <c r="AA222" s="30" t="s">
        <v>245</v>
      </c>
      <c r="AB222" s="30" t="s">
        <v>245</v>
      </c>
      <c r="AC222" s="30" t="s">
        <v>1993</v>
      </c>
      <c r="AD222" s="30" t="s">
        <v>1994</v>
      </c>
      <c r="AE222" s="30" t="s">
        <v>245</v>
      </c>
      <c r="AF222" s="30" t="s">
        <v>245</v>
      </c>
      <c r="AG222" s="30" t="s">
        <v>245</v>
      </c>
      <c r="AH222" s="30" t="s">
        <v>245</v>
      </c>
      <c r="AI222" s="30" t="s">
        <v>245</v>
      </c>
      <c r="AJ222" s="30" t="s">
        <v>245</v>
      </c>
      <c r="AK222" s="30" t="s">
        <v>245</v>
      </c>
      <c r="AL222" s="30" t="s">
        <v>245</v>
      </c>
      <c r="AM222" s="30" t="s">
        <v>245</v>
      </c>
      <c r="AN222" s="30" t="s">
        <v>245</v>
      </c>
      <c r="AO222" s="30" t="s">
        <v>245</v>
      </c>
      <c r="AP222" s="30" t="s">
        <v>245</v>
      </c>
      <c r="AQ222" s="30" t="s">
        <v>285</v>
      </c>
      <c r="AR222" s="30" t="s">
        <v>370</v>
      </c>
      <c r="AS222" s="30" t="s">
        <v>245</v>
      </c>
      <c r="AT222" s="30" t="s">
        <v>245</v>
      </c>
      <c r="AU222" s="30" t="s">
        <v>245</v>
      </c>
      <c r="AV222" s="30" t="s">
        <v>454</v>
      </c>
      <c r="AW222" s="30">
        <v>2001</v>
      </c>
      <c r="AX222" s="30">
        <v>33</v>
      </c>
      <c r="AY222" s="30">
        <v>11</v>
      </c>
      <c r="AZ222" s="30" t="s">
        <v>245</v>
      </c>
      <c r="BA222" s="30" t="s">
        <v>245</v>
      </c>
      <c r="BB222" s="30" t="s">
        <v>245</v>
      </c>
      <c r="BC222" s="30" t="s">
        <v>245</v>
      </c>
      <c r="BD222" s="30">
        <v>1493</v>
      </c>
      <c r="BE222" s="30">
        <v>1499</v>
      </c>
      <c r="BF222" s="30" t="s">
        <v>245</v>
      </c>
      <c r="BG222" s="30" t="s">
        <v>1995</v>
      </c>
      <c r="BH222" s="30" t="str">
        <f>HYPERLINK("http://dx.doi.org/10.1016/S0038-0717(01)00060-8","http://dx.doi.org/10.1016/S0038-0717(01)00060-8")</f>
        <v>http://dx.doi.org/10.1016/S0038-0717(01)00060-8</v>
      </c>
      <c r="BI222" s="30" t="s">
        <v>245</v>
      </c>
      <c r="BJ222" s="30" t="s">
        <v>245</v>
      </c>
      <c r="BK222" s="30" t="s">
        <v>245</v>
      </c>
      <c r="BL222" s="30" t="s">
        <v>245</v>
      </c>
      <c r="BM222" s="30" t="s">
        <v>245</v>
      </c>
      <c r="BN222" s="30" t="s">
        <v>245</v>
      </c>
      <c r="BO222" s="30" t="s">
        <v>245</v>
      </c>
      <c r="BP222" s="30" t="s">
        <v>245</v>
      </c>
      <c r="BQ222" s="30" t="s">
        <v>245</v>
      </c>
      <c r="BR222" s="30" t="s">
        <v>245</v>
      </c>
      <c r="BS222" s="30" t="s">
        <v>245</v>
      </c>
      <c r="BT222" s="30" t="s">
        <v>245</v>
      </c>
      <c r="BU222" s="30" t="s">
        <v>1996</v>
      </c>
      <c r="BV222" s="30" t="str">
        <f>HYPERLINK("https%3A%2F%2Fwww.webofscience.com%2Fwos%2Fwoscc%2Ffull-record%2FWOS:000170848300007","View Full Record in Web of Science")</f>
        <v>View Full Record in Web of Science</v>
      </c>
    </row>
    <row r="223" spans="1:74" x14ac:dyDescent="0.2">
      <c r="A223" s="30" t="s">
        <v>243</v>
      </c>
      <c r="B223" s="30" t="s">
        <v>1997</v>
      </c>
      <c r="C223" s="30" t="s">
        <v>245</v>
      </c>
      <c r="D223" s="30" t="s">
        <v>245</v>
      </c>
      <c r="E223" s="30" t="s">
        <v>245</v>
      </c>
      <c r="F223" s="30" t="s">
        <v>1998</v>
      </c>
      <c r="G223" s="30" t="s">
        <v>245</v>
      </c>
      <c r="H223" s="30" t="s">
        <v>245</v>
      </c>
      <c r="J223" s="30" t="s">
        <v>2834</v>
      </c>
      <c r="K223" s="30" t="s">
        <v>1999</v>
      </c>
      <c r="L223" s="30" t="s">
        <v>292</v>
      </c>
      <c r="M223" s="30" t="s">
        <v>245</v>
      </c>
      <c r="N223" s="30" t="s">
        <v>245</v>
      </c>
      <c r="O223" s="30" t="s">
        <v>245</v>
      </c>
      <c r="P223" s="30" t="s">
        <v>245</v>
      </c>
      <c r="Q223" s="30" t="s">
        <v>245</v>
      </c>
      <c r="R223" s="30" t="s">
        <v>245</v>
      </c>
      <c r="S223" s="30" t="s">
        <v>245</v>
      </c>
      <c r="T223" s="30" t="s">
        <v>245</v>
      </c>
      <c r="U223" s="30" t="s">
        <v>245</v>
      </c>
      <c r="V223" s="30" t="s">
        <v>245</v>
      </c>
      <c r="W223" s="30" t="s">
        <v>245</v>
      </c>
      <c r="X223" s="30" t="s">
        <v>245</v>
      </c>
      <c r="Y223" s="30" t="s">
        <v>245</v>
      </c>
      <c r="Z223" s="30" t="s">
        <v>245</v>
      </c>
      <c r="AA223" s="30" t="s">
        <v>245</v>
      </c>
      <c r="AB223" s="30" t="s">
        <v>245</v>
      </c>
      <c r="AC223" s="30" t="s">
        <v>2000</v>
      </c>
      <c r="AD223" s="30" t="s">
        <v>2001</v>
      </c>
      <c r="AE223" s="30" t="s">
        <v>245</v>
      </c>
      <c r="AF223" s="30" t="s">
        <v>245</v>
      </c>
      <c r="AG223" s="30" t="s">
        <v>245</v>
      </c>
      <c r="AH223" s="30" t="s">
        <v>245</v>
      </c>
      <c r="AI223" s="30" t="s">
        <v>245</v>
      </c>
      <c r="AJ223" s="30" t="s">
        <v>245</v>
      </c>
      <c r="AK223" s="30" t="s">
        <v>245</v>
      </c>
      <c r="AL223" s="30" t="s">
        <v>245</v>
      </c>
      <c r="AM223" s="30" t="s">
        <v>245</v>
      </c>
      <c r="AN223" s="30" t="s">
        <v>245</v>
      </c>
      <c r="AO223" s="30" t="s">
        <v>245</v>
      </c>
      <c r="AP223" s="30" t="s">
        <v>245</v>
      </c>
      <c r="AQ223" s="30" t="s">
        <v>295</v>
      </c>
      <c r="AR223" s="30" t="s">
        <v>296</v>
      </c>
      <c r="AS223" s="30" t="s">
        <v>245</v>
      </c>
      <c r="AT223" s="30" t="s">
        <v>245</v>
      </c>
      <c r="AU223" s="30" t="s">
        <v>245</v>
      </c>
      <c r="AV223" s="30" t="s">
        <v>265</v>
      </c>
      <c r="AW223" s="30">
        <v>2008</v>
      </c>
      <c r="AX223" s="30">
        <v>18</v>
      </c>
      <c r="AY223" s="30">
        <v>3</v>
      </c>
      <c r="AZ223" s="30" t="s">
        <v>245</v>
      </c>
      <c r="BA223" s="30" t="s">
        <v>245</v>
      </c>
      <c r="BB223" s="30" t="s">
        <v>245</v>
      </c>
      <c r="BC223" s="30" t="s">
        <v>245</v>
      </c>
      <c r="BD223" s="30">
        <v>378</v>
      </c>
      <c r="BE223" s="30">
        <v>385</v>
      </c>
      <c r="BF223" s="30" t="s">
        <v>245</v>
      </c>
      <c r="BG223" s="30" t="s">
        <v>2002</v>
      </c>
      <c r="BH223" s="30" t="str">
        <f>HYPERLINK("http://dx.doi.org/10.1016/S1002-0160(08)60028-4","http://dx.doi.org/10.1016/S1002-0160(08)60028-4")</f>
        <v>http://dx.doi.org/10.1016/S1002-0160(08)60028-4</v>
      </c>
      <c r="BI223" s="30" t="s">
        <v>245</v>
      </c>
      <c r="BJ223" s="30" t="s">
        <v>245</v>
      </c>
      <c r="BK223" s="30" t="s">
        <v>245</v>
      </c>
      <c r="BL223" s="30" t="s">
        <v>245</v>
      </c>
      <c r="BM223" s="30" t="s">
        <v>245</v>
      </c>
      <c r="BN223" s="30" t="s">
        <v>245</v>
      </c>
      <c r="BO223" s="30" t="s">
        <v>245</v>
      </c>
      <c r="BP223" s="30" t="s">
        <v>245</v>
      </c>
      <c r="BQ223" s="30" t="s">
        <v>245</v>
      </c>
      <c r="BR223" s="30" t="s">
        <v>245</v>
      </c>
      <c r="BS223" s="30" t="s">
        <v>245</v>
      </c>
      <c r="BT223" s="30" t="s">
        <v>245</v>
      </c>
      <c r="BU223" s="30" t="s">
        <v>2003</v>
      </c>
      <c r="BV223" s="30" t="str">
        <f>HYPERLINK("https%3A%2F%2Fwww.webofscience.com%2Fwos%2Fwoscc%2Ffull-record%2FWOS:000256128300012","View Full Record in Web of Science")</f>
        <v>View Full Record in Web of Science</v>
      </c>
    </row>
    <row r="224" spans="1:74" x14ac:dyDescent="0.2">
      <c r="A224" s="30" t="s">
        <v>243</v>
      </c>
      <c r="B224" s="30" t="s">
        <v>2004</v>
      </c>
      <c r="C224" s="30" t="s">
        <v>245</v>
      </c>
      <c r="D224" s="30" t="s">
        <v>245</v>
      </c>
      <c r="E224" s="30" t="s">
        <v>245</v>
      </c>
      <c r="F224" s="30" t="s">
        <v>2005</v>
      </c>
      <c r="G224" s="30" t="s">
        <v>245</v>
      </c>
      <c r="H224" s="30" t="s">
        <v>245</v>
      </c>
      <c r="J224" s="30" t="s">
        <v>2828</v>
      </c>
      <c r="K224" s="30" t="s">
        <v>2006</v>
      </c>
      <c r="L224" s="30" t="s">
        <v>541</v>
      </c>
      <c r="M224" s="30" t="s">
        <v>245</v>
      </c>
      <c r="N224" s="30" t="s">
        <v>245</v>
      </c>
      <c r="O224" s="30" t="s">
        <v>245</v>
      </c>
      <c r="P224" s="30" t="s">
        <v>245</v>
      </c>
      <c r="Q224" s="30" t="s">
        <v>245</v>
      </c>
      <c r="R224" s="30" t="s">
        <v>245</v>
      </c>
      <c r="S224" s="30" t="s">
        <v>245</v>
      </c>
      <c r="T224" s="30" t="s">
        <v>245</v>
      </c>
      <c r="U224" s="30" t="s">
        <v>245</v>
      </c>
      <c r="V224" s="30" t="s">
        <v>245</v>
      </c>
      <c r="W224" s="30" t="s">
        <v>245</v>
      </c>
      <c r="X224" s="30" t="s">
        <v>245</v>
      </c>
      <c r="Y224" s="30" t="s">
        <v>245</v>
      </c>
      <c r="Z224" s="30" t="s">
        <v>245</v>
      </c>
      <c r="AA224" s="30" t="s">
        <v>245</v>
      </c>
      <c r="AB224" s="30" t="s">
        <v>245</v>
      </c>
      <c r="AC224" s="30" t="s">
        <v>1896</v>
      </c>
      <c r="AD224" s="30" t="s">
        <v>1897</v>
      </c>
      <c r="AE224" s="30" t="s">
        <v>245</v>
      </c>
      <c r="AF224" s="30" t="s">
        <v>245</v>
      </c>
      <c r="AG224" s="30" t="s">
        <v>245</v>
      </c>
      <c r="AH224" s="30" t="s">
        <v>245</v>
      </c>
      <c r="AI224" s="30" t="s">
        <v>245</v>
      </c>
      <c r="AJ224" s="30" t="s">
        <v>245</v>
      </c>
      <c r="AK224" s="30" t="s">
        <v>245</v>
      </c>
      <c r="AL224" s="30" t="s">
        <v>245</v>
      </c>
      <c r="AM224" s="30" t="s">
        <v>245</v>
      </c>
      <c r="AN224" s="30" t="s">
        <v>245</v>
      </c>
      <c r="AO224" s="30" t="s">
        <v>245</v>
      </c>
      <c r="AP224" s="30" t="s">
        <v>245</v>
      </c>
      <c r="AQ224" s="30" t="s">
        <v>544</v>
      </c>
      <c r="AR224" s="30" t="s">
        <v>545</v>
      </c>
      <c r="AS224" s="30" t="s">
        <v>245</v>
      </c>
      <c r="AT224" s="30" t="s">
        <v>245</v>
      </c>
      <c r="AU224" s="30" t="s">
        <v>245</v>
      </c>
      <c r="AV224" s="30" t="s">
        <v>2007</v>
      </c>
      <c r="AW224" s="30">
        <v>2015</v>
      </c>
      <c r="AX224" s="30">
        <v>212</v>
      </c>
      <c r="AY224" s="30" t="s">
        <v>245</v>
      </c>
      <c r="AZ224" s="30" t="s">
        <v>245</v>
      </c>
      <c r="BA224" s="30" t="s">
        <v>245</v>
      </c>
      <c r="BB224" s="30" t="s">
        <v>245</v>
      </c>
      <c r="BC224" s="30" t="s">
        <v>245</v>
      </c>
      <c r="BD224" s="30">
        <v>148</v>
      </c>
      <c r="BE224" s="30">
        <v>157</v>
      </c>
      <c r="BF224" s="30" t="s">
        <v>245</v>
      </c>
      <c r="BG224" s="30" t="s">
        <v>2008</v>
      </c>
      <c r="BH224" s="30" t="str">
        <f>HYPERLINK("http://dx.doi.org/10.1016/j.agee.2015.06.025","http://dx.doi.org/10.1016/j.agee.2015.06.025")</f>
        <v>http://dx.doi.org/10.1016/j.agee.2015.06.025</v>
      </c>
      <c r="BI224" s="30" t="s">
        <v>245</v>
      </c>
      <c r="BJ224" s="30" t="s">
        <v>245</v>
      </c>
      <c r="BK224" s="30" t="s">
        <v>245</v>
      </c>
      <c r="BL224" s="30" t="s">
        <v>245</v>
      </c>
      <c r="BM224" s="30" t="s">
        <v>245</v>
      </c>
      <c r="BN224" s="30" t="s">
        <v>245</v>
      </c>
      <c r="BO224" s="30" t="s">
        <v>245</v>
      </c>
      <c r="BP224" s="30" t="s">
        <v>245</v>
      </c>
      <c r="BQ224" s="30" t="s">
        <v>245</v>
      </c>
      <c r="BR224" s="30" t="s">
        <v>245</v>
      </c>
      <c r="BS224" s="30" t="s">
        <v>245</v>
      </c>
      <c r="BT224" s="30" t="s">
        <v>245</v>
      </c>
      <c r="BU224" s="30" t="s">
        <v>2009</v>
      </c>
      <c r="BV224" s="30" t="str">
        <f>HYPERLINK("https%3A%2F%2Fwww.webofscience.com%2Fwos%2Fwoscc%2Ffull-record%2FWOS:000361261100015","View Full Record in Web of Science")</f>
        <v>View Full Record in Web of Science</v>
      </c>
    </row>
    <row r="225" spans="1:74" x14ac:dyDescent="0.2">
      <c r="A225" s="30" t="s">
        <v>243</v>
      </c>
      <c r="B225" s="30" t="s">
        <v>2010</v>
      </c>
      <c r="C225" s="30" t="s">
        <v>245</v>
      </c>
      <c r="D225" s="30" t="s">
        <v>245</v>
      </c>
      <c r="E225" s="30" t="s">
        <v>245</v>
      </c>
      <c r="F225" s="30" t="s">
        <v>2011</v>
      </c>
      <c r="G225" s="30" t="s">
        <v>245</v>
      </c>
      <c r="H225" s="30" t="s">
        <v>245</v>
      </c>
      <c r="I225" s="30" t="s">
        <v>2821</v>
      </c>
      <c r="K225" s="30" t="s">
        <v>2012</v>
      </c>
      <c r="L225" s="30" t="s">
        <v>1122</v>
      </c>
      <c r="M225" s="30" t="s">
        <v>245</v>
      </c>
      <c r="N225" s="30" t="s">
        <v>245</v>
      </c>
      <c r="O225" s="30" t="s">
        <v>245</v>
      </c>
      <c r="P225" s="30" t="s">
        <v>245</v>
      </c>
      <c r="Q225" s="30" t="s">
        <v>245</v>
      </c>
      <c r="R225" s="30" t="s">
        <v>245</v>
      </c>
      <c r="S225" s="30" t="s">
        <v>245</v>
      </c>
      <c r="T225" s="30" t="s">
        <v>245</v>
      </c>
      <c r="U225" s="30" t="s">
        <v>245</v>
      </c>
      <c r="V225" s="30" t="s">
        <v>245</v>
      </c>
      <c r="W225" s="30" t="s">
        <v>245</v>
      </c>
      <c r="X225" s="30" t="s">
        <v>245</v>
      </c>
      <c r="Y225" s="30" t="s">
        <v>245</v>
      </c>
      <c r="Z225" s="30" t="s">
        <v>245</v>
      </c>
      <c r="AA225" s="30" t="s">
        <v>245</v>
      </c>
      <c r="AB225" s="30" t="s">
        <v>245</v>
      </c>
      <c r="AC225" s="30" t="s">
        <v>2013</v>
      </c>
      <c r="AD225" s="30" t="s">
        <v>2014</v>
      </c>
      <c r="AE225" s="30" t="s">
        <v>245</v>
      </c>
      <c r="AF225" s="30" t="s">
        <v>245</v>
      </c>
      <c r="AG225" s="30" t="s">
        <v>245</v>
      </c>
      <c r="AH225" s="30" t="s">
        <v>245</v>
      </c>
      <c r="AI225" s="30" t="s">
        <v>245</v>
      </c>
      <c r="AJ225" s="30" t="s">
        <v>245</v>
      </c>
      <c r="AK225" s="30" t="s">
        <v>245</v>
      </c>
      <c r="AL225" s="30" t="s">
        <v>245</v>
      </c>
      <c r="AM225" s="30" t="s">
        <v>245</v>
      </c>
      <c r="AN225" s="30" t="s">
        <v>245</v>
      </c>
      <c r="AO225" s="30" t="s">
        <v>245</v>
      </c>
      <c r="AP225" s="30" t="s">
        <v>245</v>
      </c>
      <c r="AQ225" s="30" t="s">
        <v>245</v>
      </c>
      <c r="AR225" s="30" t="s">
        <v>1125</v>
      </c>
      <c r="AS225" s="30" t="s">
        <v>245</v>
      </c>
      <c r="AT225" s="30" t="s">
        <v>245</v>
      </c>
      <c r="AU225" s="30" t="s">
        <v>245</v>
      </c>
      <c r="AV225" s="30" t="s">
        <v>535</v>
      </c>
      <c r="AW225" s="30">
        <v>2021</v>
      </c>
      <c r="AX225" s="30">
        <v>11</v>
      </c>
      <c r="AY225" s="30">
        <v>8</v>
      </c>
      <c r="AZ225" s="30" t="s">
        <v>245</v>
      </c>
      <c r="BA225" s="30" t="s">
        <v>245</v>
      </c>
      <c r="BB225" s="30" t="s">
        <v>245</v>
      </c>
      <c r="BC225" s="30" t="s">
        <v>245</v>
      </c>
      <c r="BD225" s="30" t="s">
        <v>245</v>
      </c>
      <c r="BE225" s="30" t="s">
        <v>245</v>
      </c>
      <c r="BF225" s="30">
        <v>1674</v>
      </c>
      <c r="BG225" s="30" t="s">
        <v>2015</v>
      </c>
      <c r="BH225" s="30" t="str">
        <f>HYPERLINK("http://dx.doi.org/10.3390/agronomy11081674","http://dx.doi.org/10.3390/agronomy11081674")</f>
        <v>http://dx.doi.org/10.3390/agronomy11081674</v>
      </c>
      <c r="BI225" s="30" t="s">
        <v>245</v>
      </c>
      <c r="BJ225" s="30" t="s">
        <v>245</v>
      </c>
      <c r="BK225" s="30" t="s">
        <v>245</v>
      </c>
      <c r="BL225" s="30" t="s">
        <v>245</v>
      </c>
      <c r="BM225" s="30" t="s">
        <v>245</v>
      </c>
      <c r="BN225" s="30" t="s">
        <v>245</v>
      </c>
      <c r="BO225" s="30" t="s">
        <v>245</v>
      </c>
      <c r="BP225" s="30" t="s">
        <v>245</v>
      </c>
      <c r="BQ225" s="30" t="s">
        <v>245</v>
      </c>
      <c r="BR225" s="30" t="s">
        <v>245</v>
      </c>
      <c r="BS225" s="30" t="s">
        <v>245</v>
      </c>
      <c r="BT225" s="30" t="s">
        <v>245</v>
      </c>
      <c r="BU225" s="30" t="s">
        <v>2016</v>
      </c>
      <c r="BV225" s="30" t="str">
        <f>HYPERLINK("https%3A%2F%2Fwww.webofscience.com%2Fwos%2Fwoscc%2Ffull-record%2FWOS:000688668800001","View Full Record in Web of Science")</f>
        <v>View Full Record in Web of Science</v>
      </c>
    </row>
    <row r="226" spans="1:74" x14ac:dyDescent="0.2">
      <c r="A226" s="30" t="s">
        <v>243</v>
      </c>
      <c r="B226" s="30" t="s">
        <v>2017</v>
      </c>
      <c r="C226" s="30" t="s">
        <v>245</v>
      </c>
      <c r="D226" s="30" t="s">
        <v>245</v>
      </c>
      <c r="E226" s="30" t="s">
        <v>245</v>
      </c>
      <c r="F226" s="30" t="s">
        <v>2018</v>
      </c>
      <c r="G226" s="30" t="s">
        <v>245</v>
      </c>
      <c r="H226" s="30" t="s">
        <v>245</v>
      </c>
      <c r="I226" s="30" t="s">
        <v>2821</v>
      </c>
      <c r="K226" s="30" t="s">
        <v>2019</v>
      </c>
      <c r="L226" s="30" t="s">
        <v>469</v>
      </c>
      <c r="M226" s="30" t="s">
        <v>245</v>
      </c>
      <c r="N226" s="30" t="s">
        <v>245</v>
      </c>
      <c r="O226" s="30" t="s">
        <v>245</v>
      </c>
      <c r="P226" s="30" t="s">
        <v>245</v>
      </c>
      <c r="Q226" s="30" t="s">
        <v>245</v>
      </c>
      <c r="R226" s="30" t="s">
        <v>245</v>
      </c>
      <c r="S226" s="30" t="s">
        <v>245</v>
      </c>
      <c r="T226" s="30" t="s">
        <v>245</v>
      </c>
      <c r="U226" s="30" t="s">
        <v>245</v>
      </c>
      <c r="V226" s="30" t="s">
        <v>245</v>
      </c>
      <c r="W226" s="30" t="s">
        <v>245</v>
      </c>
      <c r="X226" s="30" t="s">
        <v>245</v>
      </c>
      <c r="Y226" s="30" t="s">
        <v>245</v>
      </c>
      <c r="Z226" s="30" t="s">
        <v>245</v>
      </c>
      <c r="AA226" s="30" t="s">
        <v>245</v>
      </c>
      <c r="AB226" s="30" t="s">
        <v>245</v>
      </c>
      <c r="AC226" s="30" t="s">
        <v>2020</v>
      </c>
      <c r="AD226" s="30" t="s">
        <v>2021</v>
      </c>
      <c r="AE226" s="30" t="s">
        <v>245</v>
      </c>
      <c r="AF226" s="30" t="s">
        <v>245</v>
      </c>
      <c r="AG226" s="30" t="s">
        <v>245</v>
      </c>
      <c r="AH226" s="30" t="s">
        <v>245</v>
      </c>
      <c r="AI226" s="30" t="s">
        <v>245</v>
      </c>
      <c r="AJ226" s="30" t="s">
        <v>245</v>
      </c>
      <c r="AK226" s="30" t="s">
        <v>245</v>
      </c>
      <c r="AL226" s="30" t="s">
        <v>245</v>
      </c>
      <c r="AM226" s="30" t="s">
        <v>245</v>
      </c>
      <c r="AN226" s="30" t="s">
        <v>245</v>
      </c>
      <c r="AO226" s="30" t="s">
        <v>245</v>
      </c>
      <c r="AP226" s="30" t="s">
        <v>245</v>
      </c>
      <c r="AQ226" s="30" t="s">
        <v>472</v>
      </c>
      <c r="AR226" s="30" t="s">
        <v>473</v>
      </c>
      <c r="AS226" s="30" t="s">
        <v>245</v>
      </c>
      <c r="AT226" s="30" t="s">
        <v>245</v>
      </c>
      <c r="AU226" s="30" t="s">
        <v>245</v>
      </c>
      <c r="AV226" s="30" t="s">
        <v>2022</v>
      </c>
      <c r="AW226" s="30">
        <v>2021</v>
      </c>
      <c r="AX226" s="30">
        <v>400</v>
      </c>
      <c r="AY226" s="30" t="s">
        <v>245</v>
      </c>
      <c r="AZ226" s="30" t="s">
        <v>245</v>
      </c>
      <c r="BA226" s="30" t="s">
        <v>245</v>
      </c>
      <c r="BB226" s="30" t="s">
        <v>245</v>
      </c>
      <c r="BC226" s="30" t="s">
        <v>245</v>
      </c>
      <c r="BD226" s="30" t="s">
        <v>245</v>
      </c>
      <c r="BE226" s="30" t="s">
        <v>245</v>
      </c>
      <c r="BF226" s="30">
        <v>115160</v>
      </c>
      <c r="BG226" s="30" t="s">
        <v>2023</v>
      </c>
      <c r="BH226" s="30" t="str">
        <f>HYPERLINK("http://dx.doi.org/10.1016/j.geoderma.2021.115160","http://dx.doi.org/10.1016/j.geoderma.2021.115160")</f>
        <v>http://dx.doi.org/10.1016/j.geoderma.2021.115160</v>
      </c>
      <c r="BI226" s="30" t="s">
        <v>245</v>
      </c>
      <c r="BJ226" s="30" t="s">
        <v>397</v>
      </c>
      <c r="BK226" s="30" t="s">
        <v>245</v>
      </c>
      <c r="BL226" s="30" t="s">
        <v>245</v>
      </c>
      <c r="BM226" s="30" t="s">
        <v>245</v>
      </c>
      <c r="BN226" s="30" t="s">
        <v>245</v>
      </c>
      <c r="BO226" s="30" t="s">
        <v>245</v>
      </c>
      <c r="BP226" s="30" t="s">
        <v>245</v>
      </c>
      <c r="BQ226" s="30" t="s">
        <v>245</v>
      </c>
      <c r="BR226" s="30" t="s">
        <v>245</v>
      </c>
      <c r="BS226" s="30" t="s">
        <v>245</v>
      </c>
      <c r="BT226" s="30" t="s">
        <v>245</v>
      </c>
      <c r="BU226" s="30" t="s">
        <v>2024</v>
      </c>
      <c r="BV226" s="30" t="str">
        <f>HYPERLINK("https%3A%2F%2Fwww.webofscience.com%2Fwos%2Fwoscc%2Ffull-record%2FWOS:000659471100011","View Full Record in Web of Science")</f>
        <v>View Full Record in Web of Science</v>
      </c>
    </row>
    <row r="227" spans="1:74" x14ac:dyDescent="0.2">
      <c r="A227" s="30" t="s">
        <v>243</v>
      </c>
      <c r="B227" s="30" t="s">
        <v>2025</v>
      </c>
      <c r="C227" s="30" t="s">
        <v>245</v>
      </c>
      <c r="D227" s="30" t="s">
        <v>245</v>
      </c>
      <c r="E227" s="30" t="s">
        <v>245</v>
      </c>
      <c r="F227" s="30" t="s">
        <v>2026</v>
      </c>
      <c r="G227" s="30" t="s">
        <v>245</v>
      </c>
      <c r="H227" s="30" t="s">
        <v>245</v>
      </c>
      <c r="I227" s="30" t="s">
        <v>2823</v>
      </c>
      <c r="K227" s="30" t="s">
        <v>2027</v>
      </c>
      <c r="L227" s="30" t="s">
        <v>413</v>
      </c>
      <c r="M227" s="30" t="s">
        <v>245</v>
      </c>
      <c r="N227" s="30" t="s">
        <v>245</v>
      </c>
      <c r="O227" s="30" t="s">
        <v>245</v>
      </c>
      <c r="P227" s="30" t="s">
        <v>245</v>
      </c>
      <c r="Q227" s="30" t="s">
        <v>245</v>
      </c>
      <c r="R227" s="30" t="s">
        <v>245</v>
      </c>
      <c r="S227" s="30" t="s">
        <v>245</v>
      </c>
      <c r="T227" s="30" t="s">
        <v>245</v>
      </c>
      <c r="U227" s="30" t="s">
        <v>245</v>
      </c>
      <c r="V227" s="30" t="s">
        <v>245</v>
      </c>
      <c r="W227" s="30" t="s">
        <v>245</v>
      </c>
      <c r="X227" s="30" t="s">
        <v>245</v>
      </c>
      <c r="Y227" s="30" t="s">
        <v>245</v>
      </c>
      <c r="Z227" s="30" t="s">
        <v>245</v>
      </c>
      <c r="AA227" s="30" t="s">
        <v>245</v>
      </c>
      <c r="AB227" s="30" t="s">
        <v>245</v>
      </c>
      <c r="AC227" s="30" t="s">
        <v>2028</v>
      </c>
      <c r="AD227" s="30" t="s">
        <v>245</v>
      </c>
      <c r="AE227" s="30" t="s">
        <v>245</v>
      </c>
      <c r="AF227" s="30" t="s">
        <v>245</v>
      </c>
      <c r="AG227" s="30" t="s">
        <v>245</v>
      </c>
      <c r="AH227" s="30" t="s">
        <v>245</v>
      </c>
      <c r="AI227" s="30" t="s">
        <v>245</v>
      </c>
      <c r="AJ227" s="30" t="s">
        <v>245</v>
      </c>
      <c r="AK227" s="30" t="s">
        <v>245</v>
      </c>
      <c r="AL227" s="30" t="s">
        <v>245</v>
      </c>
      <c r="AM227" s="30" t="s">
        <v>245</v>
      </c>
      <c r="AN227" s="30" t="s">
        <v>245</v>
      </c>
      <c r="AO227" s="30" t="s">
        <v>245</v>
      </c>
      <c r="AP227" s="30" t="s">
        <v>245</v>
      </c>
      <c r="AQ227" s="30" t="s">
        <v>416</v>
      </c>
      <c r="AR227" s="30" t="s">
        <v>417</v>
      </c>
      <c r="AS227" s="30" t="s">
        <v>245</v>
      </c>
      <c r="AT227" s="30" t="s">
        <v>245</v>
      </c>
      <c r="AU227" s="30" t="s">
        <v>245</v>
      </c>
      <c r="AV227" s="30" t="s">
        <v>2029</v>
      </c>
      <c r="AW227" s="30">
        <v>2023</v>
      </c>
      <c r="AX227" s="30">
        <v>857</v>
      </c>
      <c r="AY227" s="30" t="s">
        <v>245</v>
      </c>
      <c r="AZ227" s="30">
        <v>2</v>
      </c>
      <c r="BA227" s="30" t="s">
        <v>245</v>
      </c>
      <c r="BB227" s="30" t="s">
        <v>245</v>
      </c>
      <c r="BC227" s="30" t="s">
        <v>245</v>
      </c>
      <c r="BD227" s="30" t="s">
        <v>245</v>
      </c>
      <c r="BE227" s="30" t="s">
        <v>245</v>
      </c>
      <c r="BF227" s="30">
        <v>159439</v>
      </c>
      <c r="BG227" s="30" t="s">
        <v>2030</v>
      </c>
      <c r="BH227" s="30" t="str">
        <f>HYPERLINK("http://dx.doi.org/10.1016/j.scitotenv.2022.159439","http://dx.doi.org/10.1016/j.scitotenv.2022.159439")</f>
        <v>http://dx.doi.org/10.1016/j.scitotenv.2022.159439</v>
      </c>
      <c r="BI227" s="30" t="s">
        <v>245</v>
      </c>
      <c r="BJ227" s="30" t="s">
        <v>2031</v>
      </c>
      <c r="BK227" s="30" t="s">
        <v>245</v>
      </c>
      <c r="BL227" s="30" t="s">
        <v>245</v>
      </c>
      <c r="BM227" s="30" t="s">
        <v>245</v>
      </c>
      <c r="BN227" s="30" t="s">
        <v>245</v>
      </c>
      <c r="BO227" s="30" t="s">
        <v>245</v>
      </c>
      <c r="BP227" s="30">
        <v>36252671</v>
      </c>
      <c r="BQ227" s="30" t="s">
        <v>245</v>
      </c>
      <c r="BR227" s="30" t="s">
        <v>245</v>
      </c>
      <c r="BS227" s="30" t="s">
        <v>245</v>
      </c>
      <c r="BT227" s="30" t="s">
        <v>245</v>
      </c>
      <c r="BU227" s="30" t="s">
        <v>2032</v>
      </c>
      <c r="BV227" s="30" t="str">
        <f>HYPERLINK("https%3A%2F%2Fwww.webofscience.com%2Fwos%2Fwoscc%2Ffull-record%2FWOS:000897790500010","View Full Record in Web of Science")</f>
        <v>View Full Record in Web of Science</v>
      </c>
    </row>
    <row r="228" spans="1:74" x14ac:dyDescent="0.2">
      <c r="A228" s="30" t="s">
        <v>243</v>
      </c>
      <c r="B228" s="30" t="s">
        <v>2033</v>
      </c>
      <c r="C228" s="30" t="s">
        <v>245</v>
      </c>
      <c r="D228" s="30" t="s">
        <v>245</v>
      </c>
      <c r="E228" s="30" t="s">
        <v>245</v>
      </c>
      <c r="F228" s="30" t="s">
        <v>2034</v>
      </c>
      <c r="G228" s="30" t="s">
        <v>245</v>
      </c>
      <c r="H228" s="30" t="s">
        <v>245</v>
      </c>
      <c r="I228" s="30" t="s">
        <v>2823</v>
      </c>
      <c r="K228" s="30" t="s">
        <v>2035</v>
      </c>
      <c r="L228" s="30" t="s">
        <v>1516</v>
      </c>
      <c r="M228" s="30" t="s">
        <v>245</v>
      </c>
      <c r="N228" s="30" t="s">
        <v>245</v>
      </c>
      <c r="O228" s="30" t="s">
        <v>245</v>
      </c>
      <c r="P228" s="30" t="s">
        <v>245</v>
      </c>
      <c r="Q228" s="30" t="s">
        <v>245</v>
      </c>
      <c r="R228" s="30" t="s">
        <v>245</v>
      </c>
      <c r="S228" s="30" t="s">
        <v>245</v>
      </c>
      <c r="T228" s="30" t="s">
        <v>245</v>
      </c>
      <c r="U228" s="30" t="s">
        <v>245</v>
      </c>
      <c r="V228" s="30" t="s">
        <v>245</v>
      </c>
      <c r="W228" s="30" t="s">
        <v>245</v>
      </c>
      <c r="X228" s="30" t="s">
        <v>245</v>
      </c>
      <c r="Y228" s="30" t="s">
        <v>245</v>
      </c>
      <c r="Z228" s="30" t="s">
        <v>245</v>
      </c>
      <c r="AA228" s="30" t="s">
        <v>245</v>
      </c>
      <c r="AB228" s="30" t="s">
        <v>245</v>
      </c>
      <c r="AC228" s="30" t="s">
        <v>2036</v>
      </c>
      <c r="AD228" s="30" t="s">
        <v>2037</v>
      </c>
      <c r="AE228" s="30" t="s">
        <v>245</v>
      </c>
      <c r="AF228" s="30" t="s">
        <v>245</v>
      </c>
      <c r="AG228" s="30" t="s">
        <v>245</v>
      </c>
      <c r="AH228" s="30" t="s">
        <v>245</v>
      </c>
      <c r="AI228" s="30" t="s">
        <v>245</v>
      </c>
      <c r="AJ228" s="30" t="s">
        <v>245</v>
      </c>
      <c r="AK228" s="30" t="s">
        <v>245</v>
      </c>
      <c r="AL228" s="30" t="s">
        <v>245</v>
      </c>
      <c r="AM228" s="30" t="s">
        <v>245</v>
      </c>
      <c r="AN228" s="30" t="s">
        <v>245</v>
      </c>
      <c r="AO228" s="30" t="s">
        <v>245</v>
      </c>
      <c r="AP228" s="30" t="s">
        <v>245</v>
      </c>
      <c r="AQ228" s="30" t="s">
        <v>1519</v>
      </c>
      <c r="AR228" s="30" t="s">
        <v>245</v>
      </c>
      <c r="AS228" s="30" t="s">
        <v>245</v>
      </c>
      <c r="AT228" s="30" t="s">
        <v>245</v>
      </c>
      <c r="AU228" s="30" t="s">
        <v>245</v>
      </c>
      <c r="AV228" s="30" t="s">
        <v>245</v>
      </c>
      <c r="AW228" s="30">
        <v>2012</v>
      </c>
      <c r="AX228" s="30">
        <v>9</v>
      </c>
      <c r="AY228" s="30">
        <v>10</v>
      </c>
      <c r="AZ228" s="30" t="s">
        <v>245</v>
      </c>
      <c r="BA228" s="30" t="s">
        <v>245</v>
      </c>
      <c r="BB228" s="30" t="s">
        <v>245</v>
      </c>
      <c r="BC228" s="30" t="s">
        <v>245</v>
      </c>
      <c r="BD228" s="30">
        <v>3891</v>
      </c>
      <c r="BE228" s="30">
        <v>3899</v>
      </c>
      <c r="BF228" s="30" t="s">
        <v>245</v>
      </c>
      <c r="BG228" s="30" t="s">
        <v>2038</v>
      </c>
      <c r="BH228" s="30" t="str">
        <f>HYPERLINK("http://dx.doi.org/10.5194/bg-9-3891-2012","http://dx.doi.org/10.5194/bg-9-3891-2012")</f>
        <v>http://dx.doi.org/10.5194/bg-9-3891-2012</v>
      </c>
      <c r="BI228" s="30" t="s">
        <v>245</v>
      </c>
      <c r="BJ228" s="30" t="s">
        <v>245</v>
      </c>
      <c r="BK228" s="30" t="s">
        <v>245</v>
      </c>
      <c r="BL228" s="30" t="s">
        <v>245</v>
      </c>
      <c r="BM228" s="30" t="s">
        <v>245</v>
      </c>
      <c r="BN228" s="30" t="s">
        <v>245</v>
      </c>
      <c r="BO228" s="30" t="s">
        <v>245</v>
      </c>
      <c r="BP228" s="30" t="s">
        <v>245</v>
      </c>
      <c r="BQ228" s="30" t="s">
        <v>245</v>
      </c>
      <c r="BR228" s="30" t="s">
        <v>245</v>
      </c>
      <c r="BS228" s="30" t="s">
        <v>245</v>
      </c>
      <c r="BT228" s="30" t="s">
        <v>245</v>
      </c>
      <c r="BU228" s="30" t="s">
        <v>2039</v>
      </c>
      <c r="BV228" s="30" t="str">
        <f>HYPERLINK("https%3A%2F%2Fwww.webofscience.com%2Fwos%2Fwoscc%2Ffull-record%2FWOS:000310471800012","View Full Record in Web of Science")</f>
        <v>View Full Record in Web of Science</v>
      </c>
    </row>
    <row r="229" spans="1:74" x14ac:dyDescent="0.2">
      <c r="A229" s="30" t="s">
        <v>243</v>
      </c>
      <c r="B229" s="30" t="s">
        <v>2040</v>
      </c>
      <c r="C229" s="30" t="s">
        <v>245</v>
      </c>
      <c r="D229" s="30" t="s">
        <v>245</v>
      </c>
      <c r="E229" s="30" t="s">
        <v>245</v>
      </c>
      <c r="F229" s="30" t="s">
        <v>2041</v>
      </c>
      <c r="G229" s="30" t="s">
        <v>245</v>
      </c>
      <c r="H229" s="30" t="s">
        <v>245</v>
      </c>
      <c r="I229" s="30" t="s">
        <v>2823</v>
      </c>
      <c r="K229" s="30" t="s">
        <v>2042</v>
      </c>
      <c r="L229" s="30" t="s">
        <v>413</v>
      </c>
      <c r="M229" s="30" t="s">
        <v>245</v>
      </c>
      <c r="N229" s="30" t="s">
        <v>245</v>
      </c>
      <c r="O229" s="30" t="s">
        <v>245</v>
      </c>
      <c r="P229" s="30" t="s">
        <v>245</v>
      </c>
      <c r="Q229" s="30" t="s">
        <v>245</v>
      </c>
      <c r="R229" s="30" t="s">
        <v>245</v>
      </c>
      <c r="S229" s="30" t="s">
        <v>245</v>
      </c>
      <c r="T229" s="30" t="s">
        <v>245</v>
      </c>
      <c r="U229" s="30" t="s">
        <v>245</v>
      </c>
      <c r="V229" s="30" t="s">
        <v>245</v>
      </c>
      <c r="W229" s="30" t="s">
        <v>245</v>
      </c>
      <c r="X229" s="30" t="s">
        <v>245</v>
      </c>
      <c r="Y229" s="30" t="s">
        <v>245</v>
      </c>
      <c r="Z229" s="30" t="s">
        <v>245</v>
      </c>
      <c r="AA229" s="30" t="s">
        <v>245</v>
      </c>
      <c r="AB229" s="30" t="s">
        <v>245</v>
      </c>
      <c r="AC229" s="30" t="s">
        <v>2043</v>
      </c>
      <c r="AD229" s="30" t="s">
        <v>2044</v>
      </c>
      <c r="AE229" s="30" t="s">
        <v>245</v>
      </c>
      <c r="AF229" s="30" t="s">
        <v>245</v>
      </c>
      <c r="AG229" s="30" t="s">
        <v>245</v>
      </c>
      <c r="AH229" s="30" t="s">
        <v>245</v>
      </c>
      <c r="AI229" s="30" t="s">
        <v>245</v>
      </c>
      <c r="AJ229" s="30" t="s">
        <v>245</v>
      </c>
      <c r="AK229" s="30" t="s">
        <v>245</v>
      </c>
      <c r="AL229" s="30" t="s">
        <v>245</v>
      </c>
      <c r="AM229" s="30" t="s">
        <v>245</v>
      </c>
      <c r="AN229" s="30" t="s">
        <v>245</v>
      </c>
      <c r="AO229" s="30" t="s">
        <v>245</v>
      </c>
      <c r="AP229" s="30" t="s">
        <v>245</v>
      </c>
      <c r="AQ229" s="30" t="s">
        <v>416</v>
      </c>
      <c r="AR229" s="30" t="s">
        <v>417</v>
      </c>
      <c r="AS229" s="30" t="s">
        <v>245</v>
      </c>
      <c r="AT229" s="30" t="s">
        <v>245</v>
      </c>
      <c r="AU229" s="30" t="s">
        <v>245</v>
      </c>
      <c r="AV229" s="30" t="s">
        <v>2045</v>
      </c>
      <c r="AW229" s="30">
        <v>2023</v>
      </c>
      <c r="AX229" s="30">
        <v>898</v>
      </c>
      <c r="AY229" s="30" t="s">
        <v>245</v>
      </c>
      <c r="AZ229" s="30" t="s">
        <v>245</v>
      </c>
      <c r="BA229" s="30" t="s">
        <v>245</v>
      </c>
      <c r="BB229" s="30" t="s">
        <v>245</v>
      </c>
      <c r="BC229" s="30" t="s">
        <v>245</v>
      </c>
      <c r="BD229" s="30" t="s">
        <v>245</v>
      </c>
      <c r="BE229" s="30" t="s">
        <v>245</v>
      </c>
      <c r="BF229" s="30">
        <v>165479</v>
      </c>
      <c r="BG229" s="30" t="s">
        <v>2046</v>
      </c>
      <c r="BH229" s="30" t="str">
        <f>HYPERLINK("http://dx.doi.org/10.1016/j.scitotenv.2023.165479","http://dx.doi.org/10.1016/j.scitotenv.2023.165479")</f>
        <v>http://dx.doi.org/10.1016/j.scitotenv.2023.165479</v>
      </c>
      <c r="BI229" s="30" t="s">
        <v>245</v>
      </c>
      <c r="BJ229" s="30" t="s">
        <v>2047</v>
      </c>
      <c r="BK229" s="30" t="s">
        <v>245</v>
      </c>
      <c r="BL229" s="30" t="s">
        <v>245</v>
      </c>
      <c r="BM229" s="30" t="s">
        <v>245</v>
      </c>
      <c r="BN229" s="30" t="s">
        <v>245</v>
      </c>
      <c r="BO229" s="30" t="s">
        <v>245</v>
      </c>
      <c r="BP229" s="30">
        <v>37459989</v>
      </c>
      <c r="BQ229" s="30" t="s">
        <v>245</v>
      </c>
      <c r="BR229" s="30" t="s">
        <v>245</v>
      </c>
      <c r="BS229" s="30" t="s">
        <v>245</v>
      </c>
      <c r="BT229" s="30" t="s">
        <v>245</v>
      </c>
      <c r="BU229" s="30" t="s">
        <v>2048</v>
      </c>
      <c r="BV229" s="30" t="str">
        <f>HYPERLINK("https%3A%2F%2Fwww.webofscience.com%2Fwos%2Fwoscc%2Ffull-record%2FWOS:001052096700001","View Full Record in Web of Science")</f>
        <v>View Full Record in Web of Science</v>
      </c>
    </row>
    <row r="230" spans="1:74" x14ac:dyDescent="0.2">
      <c r="A230" s="30" t="s">
        <v>243</v>
      </c>
      <c r="B230" s="30" t="s">
        <v>2049</v>
      </c>
      <c r="C230" s="30" t="s">
        <v>245</v>
      </c>
      <c r="D230" s="30" t="s">
        <v>245</v>
      </c>
      <c r="E230" s="30" t="s">
        <v>245</v>
      </c>
      <c r="F230" s="30" t="s">
        <v>2050</v>
      </c>
      <c r="G230" s="30" t="s">
        <v>245</v>
      </c>
      <c r="H230" s="30" t="s">
        <v>245</v>
      </c>
      <c r="I230" s="30" t="s">
        <v>2821</v>
      </c>
      <c r="K230" s="30" t="s">
        <v>2051</v>
      </c>
      <c r="L230" s="30" t="s">
        <v>336</v>
      </c>
      <c r="M230" s="30" t="s">
        <v>245</v>
      </c>
      <c r="N230" s="30" t="s">
        <v>245</v>
      </c>
      <c r="O230" s="30" t="s">
        <v>245</v>
      </c>
      <c r="P230" s="30" t="s">
        <v>245</v>
      </c>
      <c r="Q230" s="30" t="s">
        <v>245</v>
      </c>
      <c r="R230" s="30" t="s">
        <v>245</v>
      </c>
      <c r="S230" s="30" t="s">
        <v>245</v>
      </c>
      <c r="T230" s="30" t="s">
        <v>245</v>
      </c>
      <c r="U230" s="30" t="s">
        <v>245</v>
      </c>
      <c r="V230" s="30" t="s">
        <v>245</v>
      </c>
      <c r="W230" s="30" t="s">
        <v>245</v>
      </c>
      <c r="X230" s="30" t="s">
        <v>245</v>
      </c>
      <c r="Y230" s="30" t="s">
        <v>245</v>
      </c>
      <c r="Z230" s="30" t="s">
        <v>245</v>
      </c>
      <c r="AA230" s="30" t="s">
        <v>245</v>
      </c>
      <c r="AB230" s="30" t="s">
        <v>245</v>
      </c>
      <c r="AC230" s="30" t="s">
        <v>2052</v>
      </c>
      <c r="AD230" s="30" t="s">
        <v>2053</v>
      </c>
      <c r="AE230" s="30" t="s">
        <v>245</v>
      </c>
      <c r="AF230" s="30" t="s">
        <v>245</v>
      </c>
      <c r="AG230" s="30" t="s">
        <v>245</v>
      </c>
      <c r="AH230" s="30" t="s">
        <v>245</v>
      </c>
      <c r="AI230" s="30" t="s">
        <v>245</v>
      </c>
      <c r="AJ230" s="30" t="s">
        <v>245</v>
      </c>
      <c r="AK230" s="30" t="s">
        <v>245</v>
      </c>
      <c r="AL230" s="30" t="s">
        <v>245</v>
      </c>
      <c r="AM230" s="30" t="s">
        <v>245</v>
      </c>
      <c r="AN230" s="30" t="s">
        <v>245</v>
      </c>
      <c r="AO230" s="30" t="s">
        <v>245</v>
      </c>
      <c r="AP230" s="30" t="s">
        <v>245</v>
      </c>
      <c r="AQ230" s="30" t="s">
        <v>343</v>
      </c>
      <c r="AR230" s="30" t="s">
        <v>344</v>
      </c>
      <c r="AS230" s="30" t="s">
        <v>245</v>
      </c>
      <c r="AT230" s="30" t="s">
        <v>245</v>
      </c>
      <c r="AU230" s="30" t="s">
        <v>245</v>
      </c>
      <c r="AV230" s="30" t="s">
        <v>286</v>
      </c>
      <c r="AW230" s="30">
        <v>2011</v>
      </c>
      <c r="AX230" s="30">
        <v>89</v>
      </c>
      <c r="AY230" s="30">
        <v>1</v>
      </c>
      <c r="AZ230" s="30" t="s">
        <v>245</v>
      </c>
      <c r="BA230" s="30" t="s">
        <v>245</v>
      </c>
      <c r="BB230" s="30" t="s">
        <v>245</v>
      </c>
      <c r="BC230" s="30" t="s">
        <v>245</v>
      </c>
      <c r="BD230" s="30">
        <v>125</v>
      </c>
      <c r="BE230" s="30">
        <v>134</v>
      </c>
      <c r="BF230" s="30" t="s">
        <v>245</v>
      </c>
      <c r="BG230" s="30" t="s">
        <v>2054</v>
      </c>
      <c r="BH230" s="30" t="str">
        <f>HYPERLINK("http://dx.doi.org/10.1007/s10705-010-9382-4","http://dx.doi.org/10.1007/s10705-010-9382-4")</f>
        <v>http://dx.doi.org/10.1007/s10705-010-9382-4</v>
      </c>
      <c r="BI230" s="30" t="s">
        <v>245</v>
      </c>
      <c r="BJ230" s="30" t="s">
        <v>245</v>
      </c>
      <c r="BK230" s="30" t="s">
        <v>245</v>
      </c>
      <c r="BL230" s="30" t="s">
        <v>245</v>
      </c>
      <c r="BM230" s="30" t="s">
        <v>245</v>
      </c>
      <c r="BN230" s="30" t="s">
        <v>245</v>
      </c>
      <c r="BO230" s="30" t="s">
        <v>245</v>
      </c>
      <c r="BP230" s="30" t="s">
        <v>245</v>
      </c>
      <c r="BQ230" s="30" t="s">
        <v>245</v>
      </c>
      <c r="BR230" s="30" t="s">
        <v>245</v>
      </c>
      <c r="BS230" s="30" t="s">
        <v>245</v>
      </c>
      <c r="BT230" s="30" t="s">
        <v>245</v>
      </c>
      <c r="BU230" s="30" t="s">
        <v>2055</v>
      </c>
      <c r="BV230" s="30" t="str">
        <f>HYPERLINK("https%3A%2F%2Fwww.webofscience.com%2Fwos%2Fwoscc%2Ffull-record%2FWOS:000285365100011","View Full Record in Web of Science")</f>
        <v>View Full Record in Web of Science</v>
      </c>
    </row>
    <row r="231" spans="1:74" x14ac:dyDescent="0.2">
      <c r="A231" s="30" t="s">
        <v>243</v>
      </c>
      <c r="B231" s="30" t="s">
        <v>2056</v>
      </c>
      <c r="C231" s="30" t="s">
        <v>245</v>
      </c>
      <c r="D231" s="30" t="s">
        <v>245</v>
      </c>
      <c r="E231" s="30" t="s">
        <v>245</v>
      </c>
      <c r="F231" s="30" t="s">
        <v>2057</v>
      </c>
      <c r="G231" s="30" t="s">
        <v>245</v>
      </c>
      <c r="H231" s="30" t="s">
        <v>245</v>
      </c>
      <c r="I231" s="30" t="s">
        <v>2823</v>
      </c>
      <c r="K231" s="30" t="s">
        <v>2058</v>
      </c>
      <c r="L231" s="30" t="s">
        <v>304</v>
      </c>
      <c r="M231" s="30" t="s">
        <v>245</v>
      </c>
      <c r="N231" s="30" t="s">
        <v>245</v>
      </c>
      <c r="O231" s="30" t="s">
        <v>245</v>
      </c>
      <c r="P231" s="30" t="s">
        <v>245</v>
      </c>
      <c r="Q231" s="30" t="s">
        <v>245</v>
      </c>
      <c r="R231" s="30" t="s">
        <v>245</v>
      </c>
      <c r="S231" s="30" t="s">
        <v>245</v>
      </c>
      <c r="T231" s="30" t="s">
        <v>245</v>
      </c>
      <c r="U231" s="30" t="s">
        <v>245</v>
      </c>
      <c r="V231" s="30" t="s">
        <v>245</v>
      </c>
      <c r="W231" s="30" t="s">
        <v>245</v>
      </c>
      <c r="X231" s="30" t="s">
        <v>245</v>
      </c>
      <c r="Y231" s="30" t="s">
        <v>245</v>
      </c>
      <c r="Z231" s="30" t="s">
        <v>245</v>
      </c>
      <c r="AA231" s="30" t="s">
        <v>245</v>
      </c>
      <c r="AB231" s="30" t="s">
        <v>245</v>
      </c>
      <c r="AC231" s="30" t="s">
        <v>2059</v>
      </c>
      <c r="AD231" s="30" t="s">
        <v>2060</v>
      </c>
      <c r="AE231" s="30" t="s">
        <v>245</v>
      </c>
      <c r="AF231" s="30" t="s">
        <v>245</v>
      </c>
      <c r="AG231" s="30" t="s">
        <v>245</v>
      </c>
      <c r="AH231" s="30" t="s">
        <v>245</v>
      </c>
      <c r="AI231" s="30" t="s">
        <v>245</v>
      </c>
      <c r="AJ231" s="30" t="s">
        <v>245</v>
      </c>
      <c r="AK231" s="30" t="s">
        <v>245</v>
      </c>
      <c r="AL231" s="30" t="s">
        <v>245</v>
      </c>
      <c r="AM231" s="30" t="s">
        <v>245</v>
      </c>
      <c r="AN231" s="30" t="s">
        <v>245</v>
      </c>
      <c r="AO231" s="30" t="s">
        <v>245</v>
      </c>
      <c r="AP231" s="30" t="s">
        <v>245</v>
      </c>
      <c r="AQ231" s="30" t="s">
        <v>307</v>
      </c>
      <c r="AR231" s="30" t="s">
        <v>308</v>
      </c>
      <c r="AS231" s="30" t="s">
        <v>245</v>
      </c>
      <c r="AT231" s="30" t="s">
        <v>245</v>
      </c>
      <c r="AU231" s="30" t="s">
        <v>245</v>
      </c>
      <c r="AV231" s="30" t="s">
        <v>354</v>
      </c>
      <c r="AW231" s="30">
        <v>2016</v>
      </c>
      <c r="AX231" s="30">
        <v>62</v>
      </c>
      <c r="AY231" s="30">
        <v>2</v>
      </c>
      <c r="AZ231" s="30" t="s">
        <v>245</v>
      </c>
      <c r="BA231" s="30" t="s">
        <v>245</v>
      </c>
      <c r="BB231" s="30" t="s">
        <v>245</v>
      </c>
      <c r="BC231" s="30" t="s">
        <v>245</v>
      </c>
      <c r="BD231" s="30">
        <v>150</v>
      </c>
      <c r="BE231" s="30">
        <v>163</v>
      </c>
      <c r="BF231" s="30" t="s">
        <v>245</v>
      </c>
      <c r="BG231" s="30" t="s">
        <v>2061</v>
      </c>
      <c r="BH231" s="30" t="str">
        <f>HYPERLINK("http://dx.doi.org/10.1080/00380768.2016.1165598","http://dx.doi.org/10.1080/00380768.2016.1165598")</f>
        <v>http://dx.doi.org/10.1080/00380768.2016.1165598</v>
      </c>
      <c r="BI231" s="30" t="s">
        <v>245</v>
      </c>
      <c r="BJ231" s="30" t="s">
        <v>245</v>
      </c>
      <c r="BK231" s="30" t="s">
        <v>245</v>
      </c>
      <c r="BL231" s="30" t="s">
        <v>245</v>
      </c>
      <c r="BM231" s="30" t="s">
        <v>245</v>
      </c>
      <c r="BN231" s="30" t="s">
        <v>245</v>
      </c>
      <c r="BO231" s="30" t="s">
        <v>245</v>
      </c>
      <c r="BP231" s="30" t="s">
        <v>245</v>
      </c>
      <c r="BQ231" s="30" t="s">
        <v>245</v>
      </c>
      <c r="BR231" s="30" t="s">
        <v>245</v>
      </c>
      <c r="BS231" s="30" t="s">
        <v>245</v>
      </c>
      <c r="BT231" s="30" t="s">
        <v>245</v>
      </c>
      <c r="BU231" s="30" t="s">
        <v>2062</v>
      </c>
      <c r="BV231" s="30" t="str">
        <f>HYPERLINK("https%3A%2F%2Fwww.webofscience.com%2Fwos%2Fwoscc%2Ffull-record%2FWOS:000374909900007","View Full Record in Web of Science")</f>
        <v>View Full Record in Web of Science</v>
      </c>
    </row>
    <row r="232" spans="1:74" x14ac:dyDescent="0.2">
      <c r="A232" s="30" t="s">
        <v>243</v>
      </c>
      <c r="B232" s="30" t="s">
        <v>2063</v>
      </c>
      <c r="C232" s="30" t="s">
        <v>245</v>
      </c>
      <c r="D232" s="30" t="s">
        <v>245</v>
      </c>
      <c r="E232" s="30" t="s">
        <v>245</v>
      </c>
      <c r="F232" s="30" t="s">
        <v>2064</v>
      </c>
      <c r="G232" s="30" t="s">
        <v>245</v>
      </c>
      <c r="H232" s="30" t="s">
        <v>245</v>
      </c>
      <c r="I232" s="30" t="s">
        <v>2823</v>
      </c>
      <c r="K232" s="30" t="s">
        <v>2065</v>
      </c>
      <c r="L232" s="30" t="s">
        <v>432</v>
      </c>
      <c r="M232" s="30" t="s">
        <v>245</v>
      </c>
      <c r="N232" s="30" t="s">
        <v>245</v>
      </c>
      <c r="O232" s="30" t="s">
        <v>245</v>
      </c>
      <c r="P232" s="30" t="s">
        <v>245</v>
      </c>
      <c r="Q232" s="30" t="s">
        <v>245</v>
      </c>
      <c r="R232" s="30" t="s">
        <v>245</v>
      </c>
      <c r="S232" s="30" t="s">
        <v>245</v>
      </c>
      <c r="T232" s="30" t="s">
        <v>245</v>
      </c>
      <c r="U232" s="30" t="s">
        <v>245</v>
      </c>
      <c r="V232" s="30" t="s">
        <v>245</v>
      </c>
      <c r="W232" s="30" t="s">
        <v>245</v>
      </c>
      <c r="X232" s="30" t="s">
        <v>245</v>
      </c>
      <c r="Y232" s="30" t="s">
        <v>245</v>
      </c>
      <c r="Z232" s="30" t="s">
        <v>245</v>
      </c>
      <c r="AA232" s="30" t="s">
        <v>245</v>
      </c>
      <c r="AB232" s="30" t="s">
        <v>245</v>
      </c>
      <c r="AC232" s="30" t="s">
        <v>2066</v>
      </c>
      <c r="AD232" s="30" t="s">
        <v>2067</v>
      </c>
      <c r="AE232" s="30" t="s">
        <v>245</v>
      </c>
      <c r="AF232" s="30" t="s">
        <v>245</v>
      </c>
      <c r="AG232" s="30" t="s">
        <v>245</v>
      </c>
      <c r="AH232" s="30" t="s">
        <v>245</v>
      </c>
      <c r="AI232" s="30" t="s">
        <v>245</v>
      </c>
      <c r="AJ232" s="30" t="s">
        <v>245</v>
      </c>
      <c r="AK232" s="30" t="s">
        <v>245</v>
      </c>
      <c r="AL232" s="30" t="s">
        <v>245</v>
      </c>
      <c r="AM232" s="30" t="s">
        <v>245</v>
      </c>
      <c r="AN232" s="30" t="s">
        <v>245</v>
      </c>
      <c r="AO232" s="30" t="s">
        <v>245</v>
      </c>
      <c r="AP232" s="30" t="s">
        <v>245</v>
      </c>
      <c r="AQ232" s="30" t="s">
        <v>433</v>
      </c>
      <c r="AR232" s="30" t="s">
        <v>434</v>
      </c>
      <c r="AS232" s="30" t="s">
        <v>245</v>
      </c>
      <c r="AT232" s="30" t="s">
        <v>245</v>
      </c>
      <c r="AU232" s="30" t="s">
        <v>245</v>
      </c>
      <c r="AV232" s="30" t="s">
        <v>535</v>
      </c>
      <c r="AW232" s="30">
        <v>2012</v>
      </c>
      <c r="AX232" s="30">
        <v>357</v>
      </c>
      <c r="AY232" s="30" t="s">
        <v>436</v>
      </c>
      <c r="AZ232" s="30" t="s">
        <v>245</v>
      </c>
      <c r="BA232" s="30" t="s">
        <v>245</v>
      </c>
      <c r="BB232" s="30" t="s">
        <v>245</v>
      </c>
      <c r="BC232" s="30" t="s">
        <v>245</v>
      </c>
      <c r="BD232" s="30">
        <v>339</v>
      </c>
      <c r="BE232" s="30">
        <v>353</v>
      </c>
      <c r="BF232" s="30" t="s">
        <v>245</v>
      </c>
      <c r="BG232" s="30" t="s">
        <v>2068</v>
      </c>
      <c r="BH232" s="30" t="str">
        <f>HYPERLINK("http://dx.doi.org/10.1007/s11104-012-1168-9","http://dx.doi.org/10.1007/s11104-012-1168-9")</f>
        <v>http://dx.doi.org/10.1007/s11104-012-1168-9</v>
      </c>
      <c r="BI232" s="30" t="s">
        <v>245</v>
      </c>
      <c r="BJ232" s="30" t="s">
        <v>245</v>
      </c>
      <c r="BK232" s="30" t="s">
        <v>245</v>
      </c>
      <c r="BL232" s="30" t="s">
        <v>245</v>
      </c>
      <c r="BM232" s="30" t="s">
        <v>245</v>
      </c>
      <c r="BN232" s="30" t="s">
        <v>245</v>
      </c>
      <c r="BO232" s="30" t="s">
        <v>245</v>
      </c>
      <c r="BP232" s="30" t="s">
        <v>245</v>
      </c>
      <c r="BQ232" s="30" t="s">
        <v>245</v>
      </c>
      <c r="BR232" s="30" t="s">
        <v>245</v>
      </c>
      <c r="BS232" s="30" t="s">
        <v>245</v>
      </c>
      <c r="BT232" s="30" t="s">
        <v>245</v>
      </c>
      <c r="BU232" s="30" t="s">
        <v>2069</v>
      </c>
      <c r="BV232" s="30" t="str">
        <f>HYPERLINK("https%3A%2F%2Fwww.webofscience.com%2Fwos%2Fwoscc%2Ffull-record%2FWOS:000306552700026","View Full Record in Web of Science")</f>
        <v>View Full Record in Web of Science</v>
      </c>
    </row>
    <row r="233" spans="1:74" x14ac:dyDescent="0.2">
      <c r="A233" s="30" t="s">
        <v>243</v>
      </c>
      <c r="B233" s="30" t="s">
        <v>2070</v>
      </c>
      <c r="C233" s="30" t="s">
        <v>245</v>
      </c>
      <c r="D233" s="30" t="s">
        <v>245</v>
      </c>
      <c r="E233" s="30" t="s">
        <v>245</v>
      </c>
      <c r="F233" s="30" t="s">
        <v>2071</v>
      </c>
      <c r="G233" s="30" t="s">
        <v>245</v>
      </c>
      <c r="H233" s="30" t="s">
        <v>245</v>
      </c>
      <c r="I233" s="30" t="s">
        <v>2821</v>
      </c>
      <c r="K233" s="30" t="s">
        <v>2072</v>
      </c>
      <c r="L233" s="30" t="s">
        <v>765</v>
      </c>
      <c r="M233" s="30" t="s">
        <v>245</v>
      </c>
      <c r="N233" s="30" t="s">
        <v>245</v>
      </c>
      <c r="O233" s="30" t="s">
        <v>245</v>
      </c>
      <c r="P233" s="30" t="s">
        <v>245</v>
      </c>
      <c r="Q233" s="30" t="s">
        <v>245</v>
      </c>
      <c r="R233" s="30" t="s">
        <v>245</v>
      </c>
      <c r="S233" s="30" t="s">
        <v>245</v>
      </c>
      <c r="T233" s="30" t="s">
        <v>245</v>
      </c>
      <c r="U233" s="30" t="s">
        <v>245</v>
      </c>
      <c r="V233" s="30" t="s">
        <v>245</v>
      </c>
      <c r="W233" s="30" t="s">
        <v>245</v>
      </c>
      <c r="X233" s="30" t="s">
        <v>245</v>
      </c>
      <c r="Y233" s="30" t="s">
        <v>245</v>
      </c>
      <c r="Z233" s="30" t="s">
        <v>245</v>
      </c>
      <c r="AA233" s="30" t="s">
        <v>245</v>
      </c>
      <c r="AB233" s="30" t="s">
        <v>245</v>
      </c>
      <c r="AC233" s="30" t="s">
        <v>2073</v>
      </c>
      <c r="AD233" s="30" t="s">
        <v>2074</v>
      </c>
      <c r="AE233" s="30" t="s">
        <v>245</v>
      </c>
      <c r="AF233" s="30" t="s">
        <v>245</v>
      </c>
      <c r="AG233" s="30" t="s">
        <v>245</v>
      </c>
      <c r="AH233" s="30" t="s">
        <v>245</v>
      </c>
      <c r="AI233" s="30" t="s">
        <v>245</v>
      </c>
      <c r="AJ233" s="30" t="s">
        <v>245</v>
      </c>
      <c r="AK233" s="30" t="s">
        <v>245</v>
      </c>
      <c r="AL233" s="30" t="s">
        <v>245</v>
      </c>
      <c r="AM233" s="30" t="s">
        <v>245</v>
      </c>
      <c r="AN233" s="30" t="s">
        <v>245</v>
      </c>
      <c r="AO233" s="30" t="s">
        <v>245</v>
      </c>
      <c r="AP233" s="30" t="s">
        <v>245</v>
      </c>
      <c r="AQ233" s="30" t="s">
        <v>768</v>
      </c>
      <c r="AR233" s="30" t="s">
        <v>769</v>
      </c>
      <c r="AS233" s="30" t="s">
        <v>245</v>
      </c>
      <c r="AT233" s="30" t="s">
        <v>245</v>
      </c>
      <c r="AU233" s="30" t="s">
        <v>245</v>
      </c>
      <c r="AV233" s="30" t="s">
        <v>535</v>
      </c>
      <c r="AW233" s="30">
        <v>2018</v>
      </c>
      <c r="AX233" s="30">
        <v>187</v>
      </c>
      <c r="AY233" s="30" t="s">
        <v>245</v>
      </c>
      <c r="AZ233" s="30" t="s">
        <v>245</v>
      </c>
      <c r="BA233" s="30" t="s">
        <v>245</v>
      </c>
      <c r="BB233" s="30" t="s">
        <v>245</v>
      </c>
      <c r="BC233" s="30" t="s">
        <v>245</v>
      </c>
      <c r="BD233" s="30">
        <v>255</v>
      </c>
      <c r="BE233" s="30">
        <v>265</v>
      </c>
      <c r="BF233" s="30" t="s">
        <v>245</v>
      </c>
      <c r="BG233" s="30" t="s">
        <v>2075</v>
      </c>
      <c r="BH233" s="30" t="str">
        <f>HYPERLINK("http://dx.doi.org/10.1016/j.atmosenv.2018.05.065","http://dx.doi.org/10.1016/j.atmosenv.2018.05.065")</f>
        <v>http://dx.doi.org/10.1016/j.atmosenv.2018.05.065</v>
      </c>
      <c r="BI233" s="30" t="s">
        <v>245</v>
      </c>
      <c r="BJ233" s="30" t="s">
        <v>245</v>
      </c>
      <c r="BK233" s="30" t="s">
        <v>245</v>
      </c>
      <c r="BL233" s="30" t="s">
        <v>245</v>
      </c>
      <c r="BM233" s="30" t="s">
        <v>245</v>
      </c>
      <c r="BN233" s="30" t="s">
        <v>245</v>
      </c>
      <c r="BO233" s="30" t="s">
        <v>245</v>
      </c>
      <c r="BP233" s="30" t="s">
        <v>245</v>
      </c>
      <c r="BQ233" s="30" t="s">
        <v>245</v>
      </c>
      <c r="BR233" s="30" t="s">
        <v>245</v>
      </c>
      <c r="BS233" s="30" t="s">
        <v>245</v>
      </c>
      <c r="BT233" s="30" t="s">
        <v>245</v>
      </c>
      <c r="BU233" s="30" t="s">
        <v>2076</v>
      </c>
      <c r="BV233" s="30" t="str">
        <f>HYPERLINK("https%3A%2F%2Fwww.webofscience.com%2Fwos%2Fwoscc%2Ffull-record%2FWOS:000439672800022","View Full Record in Web of Science")</f>
        <v>View Full Record in Web of Science</v>
      </c>
    </row>
    <row r="234" spans="1:74" x14ac:dyDescent="0.2">
      <c r="A234" s="30" t="s">
        <v>243</v>
      </c>
      <c r="B234" s="30" t="s">
        <v>2077</v>
      </c>
      <c r="C234" s="30" t="s">
        <v>245</v>
      </c>
      <c r="D234" s="30" t="s">
        <v>245</v>
      </c>
      <c r="E234" s="30" t="s">
        <v>245</v>
      </c>
      <c r="F234" s="30" t="s">
        <v>2078</v>
      </c>
      <c r="G234" s="30" t="s">
        <v>245</v>
      </c>
      <c r="H234" s="30" t="s">
        <v>245</v>
      </c>
      <c r="J234" s="30" t="s">
        <v>2827</v>
      </c>
      <c r="K234" s="30" t="s">
        <v>2079</v>
      </c>
      <c r="L234" s="30" t="s">
        <v>2080</v>
      </c>
      <c r="M234" s="30" t="s">
        <v>245</v>
      </c>
      <c r="N234" s="30" t="s">
        <v>245</v>
      </c>
      <c r="O234" s="30" t="s">
        <v>245</v>
      </c>
      <c r="P234" s="30" t="s">
        <v>245</v>
      </c>
      <c r="Q234" s="30" t="s">
        <v>245</v>
      </c>
      <c r="R234" s="30" t="s">
        <v>245</v>
      </c>
      <c r="S234" s="30" t="s">
        <v>245</v>
      </c>
      <c r="T234" s="30" t="s">
        <v>245</v>
      </c>
      <c r="U234" s="30" t="s">
        <v>245</v>
      </c>
      <c r="V234" s="30" t="s">
        <v>245</v>
      </c>
      <c r="W234" s="30" t="s">
        <v>245</v>
      </c>
      <c r="X234" s="30" t="s">
        <v>245</v>
      </c>
      <c r="Y234" s="30" t="s">
        <v>245</v>
      </c>
      <c r="Z234" s="30" t="s">
        <v>245</v>
      </c>
      <c r="AA234" s="30" t="s">
        <v>245</v>
      </c>
      <c r="AB234" s="30" t="s">
        <v>245</v>
      </c>
      <c r="AC234" s="30" t="s">
        <v>2081</v>
      </c>
      <c r="AD234" s="30" t="s">
        <v>2082</v>
      </c>
      <c r="AE234" s="30" t="s">
        <v>245</v>
      </c>
      <c r="AF234" s="30" t="s">
        <v>245</v>
      </c>
      <c r="AG234" s="30" t="s">
        <v>245</v>
      </c>
      <c r="AH234" s="30" t="s">
        <v>245</v>
      </c>
      <c r="AI234" s="30" t="s">
        <v>245</v>
      </c>
      <c r="AJ234" s="30" t="s">
        <v>245</v>
      </c>
      <c r="AK234" s="30" t="s">
        <v>245</v>
      </c>
      <c r="AL234" s="30" t="s">
        <v>245</v>
      </c>
      <c r="AM234" s="30" t="s">
        <v>245</v>
      </c>
      <c r="AN234" s="30" t="s">
        <v>245</v>
      </c>
      <c r="AO234" s="30" t="s">
        <v>245</v>
      </c>
      <c r="AP234" s="30" t="s">
        <v>245</v>
      </c>
      <c r="AQ234" s="30" t="s">
        <v>2083</v>
      </c>
      <c r="AR234" s="30" t="s">
        <v>245</v>
      </c>
      <c r="AS234" s="30" t="s">
        <v>245</v>
      </c>
      <c r="AT234" s="30" t="s">
        <v>245</v>
      </c>
      <c r="AU234" s="30" t="s">
        <v>245</v>
      </c>
      <c r="AV234" s="30" t="s">
        <v>2084</v>
      </c>
      <c r="AW234" s="30">
        <v>2023</v>
      </c>
      <c r="AX234" s="30">
        <v>13</v>
      </c>
      <c r="AY234" s="30">
        <v>1</v>
      </c>
      <c r="AZ234" s="30" t="s">
        <v>245</v>
      </c>
      <c r="BA234" s="30" t="s">
        <v>245</v>
      </c>
      <c r="BB234" s="30" t="s">
        <v>245</v>
      </c>
      <c r="BC234" s="30" t="s">
        <v>245</v>
      </c>
      <c r="BD234" s="30" t="s">
        <v>245</v>
      </c>
      <c r="BE234" s="30" t="s">
        <v>245</v>
      </c>
      <c r="BF234" s="30">
        <v>5113</v>
      </c>
      <c r="BG234" s="30" t="s">
        <v>2085</v>
      </c>
      <c r="BH234" s="30" t="str">
        <f>HYPERLINK("http://dx.doi.org/10.1038/s41598-023-32127-0","http://dx.doi.org/10.1038/s41598-023-32127-0")</f>
        <v>http://dx.doi.org/10.1038/s41598-023-32127-0</v>
      </c>
      <c r="BI234" s="30" t="s">
        <v>245</v>
      </c>
      <c r="BJ234" s="30" t="s">
        <v>245</v>
      </c>
      <c r="BK234" s="30" t="s">
        <v>245</v>
      </c>
      <c r="BL234" s="30" t="s">
        <v>245</v>
      </c>
      <c r="BM234" s="30" t="s">
        <v>245</v>
      </c>
      <c r="BN234" s="30" t="s">
        <v>245</v>
      </c>
      <c r="BO234" s="30" t="s">
        <v>245</v>
      </c>
      <c r="BP234" s="30">
        <v>36991072</v>
      </c>
      <c r="BQ234" s="30" t="s">
        <v>245</v>
      </c>
      <c r="BR234" s="30" t="s">
        <v>245</v>
      </c>
      <c r="BS234" s="30" t="s">
        <v>245</v>
      </c>
      <c r="BT234" s="30" t="s">
        <v>245</v>
      </c>
      <c r="BU234" s="30" t="s">
        <v>2086</v>
      </c>
      <c r="BV234" s="30" t="str">
        <f>HYPERLINK("https%3A%2F%2Fwww.webofscience.com%2Fwos%2Fwoscc%2Ffull-record%2FWOS:001003614500007","View Full Record in Web of Science")</f>
        <v>View Full Record in Web of Science</v>
      </c>
    </row>
    <row r="235" spans="1:74" x14ac:dyDescent="0.2">
      <c r="A235" s="30" t="s">
        <v>243</v>
      </c>
      <c r="B235" s="30" t="s">
        <v>2087</v>
      </c>
      <c r="C235" s="30" t="s">
        <v>245</v>
      </c>
      <c r="D235" s="30" t="s">
        <v>245</v>
      </c>
      <c r="E235" s="30" t="s">
        <v>245</v>
      </c>
      <c r="F235" s="30" t="s">
        <v>2088</v>
      </c>
      <c r="G235" s="30" t="s">
        <v>245</v>
      </c>
      <c r="H235" s="30" t="s">
        <v>245</v>
      </c>
      <c r="I235" s="30" t="s">
        <v>2821</v>
      </c>
      <c r="K235" s="30" t="s">
        <v>2089</v>
      </c>
      <c r="L235" s="30" t="s">
        <v>892</v>
      </c>
      <c r="M235" s="30" t="s">
        <v>245</v>
      </c>
      <c r="N235" s="30" t="s">
        <v>245</v>
      </c>
      <c r="O235" s="30" t="s">
        <v>245</v>
      </c>
      <c r="P235" s="30" t="s">
        <v>245</v>
      </c>
      <c r="Q235" s="30" t="s">
        <v>245</v>
      </c>
      <c r="R235" s="30" t="s">
        <v>245</v>
      </c>
      <c r="S235" s="30" t="s">
        <v>245</v>
      </c>
      <c r="T235" s="30" t="s">
        <v>245</v>
      </c>
      <c r="U235" s="30" t="s">
        <v>245</v>
      </c>
      <c r="V235" s="30" t="s">
        <v>245</v>
      </c>
      <c r="W235" s="30" t="s">
        <v>245</v>
      </c>
      <c r="X235" s="30" t="s">
        <v>245</v>
      </c>
      <c r="Y235" s="30" t="s">
        <v>245</v>
      </c>
      <c r="Z235" s="30" t="s">
        <v>245</v>
      </c>
      <c r="AA235" s="30" t="s">
        <v>245</v>
      </c>
      <c r="AB235" s="30" t="s">
        <v>245</v>
      </c>
      <c r="AC235" s="30" t="s">
        <v>2090</v>
      </c>
      <c r="AD235" s="30" t="s">
        <v>2091</v>
      </c>
      <c r="AE235" s="30" t="s">
        <v>245</v>
      </c>
      <c r="AF235" s="30" t="s">
        <v>245</v>
      </c>
      <c r="AG235" s="30" t="s">
        <v>245</v>
      </c>
      <c r="AH235" s="30" t="s">
        <v>245</v>
      </c>
      <c r="AI235" s="30" t="s">
        <v>245</v>
      </c>
      <c r="AJ235" s="30" t="s">
        <v>245</v>
      </c>
      <c r="AK235" s="30" t="s">
        <v>245</v>
      </c>
      <c r="AL235" s="30" t="s">
        <v>245</v>
      </c>
      <c r="AM235" s="30" t="s">
        <v>245</v>
      </c>
      <c r="AN235" s="30" t="s">
        <v>245</v>
      </c>
      <c r="AO235" s="30" t="s">
        <v>245</v>
      </c>
      <c r="AP235" s="30" t="s">
        <v>245</v>
      </c>
      <c r="AQ235" s="30" t="s">
        <v>898</v>
      </c>
      <c r="AR235" s="30" t="s">
        <v>899</v>
      </c>
      <c r="AS235" s="30" t="s">
        <v>245</v>
      </c>
      <c r="AT235" s="30" t="s">
        <v>245</v>
      </c>
      <c r="AU235" s="30" t="s">
        <v>245</v>
      </c>
      <c r="AV235" s="30" t="s">
        <v>435</v>
      </c>
      <c r="AW235" s="30">
        <v>2025</v>
      </c>
      <c r="AX235" s="30">
        <v>248</v>
      </c>
      <c r="AY235" s="30" t="s">
        <v>245</v>
      </c>
      <c r="AZ235" s="30" t="s">
        <v>245</v>
      </c>
      <c r="BA235" s="30" t="s">
        <v>245</v>
      </c>
      <c r="BB235" s="30" t="s">
        <v>245</v>
      </c>
      <c r="BC235" s="30" t="s">
        <v>245</v>
      </c>
      <c r="BD235" s="30" t="s">
        <v>245</v>
      </c>
      <c r="BE235" s="30" t="s">
        <v>245</v>
      </c>
      <c r="BF235" s="30">
        <v>106376</v>
      </c>
      <c r="BG235" s="30" t="s">
        <v>2092</v>
      </c>
      <c r="BH235" s="30" t="str">
        <f>HYPERLINK("http://dx.doi.org/10.1016/j.still.2024.106376","http://dx.doi.org/10.1016/j.still.2024.106376")</f>
        <v>http://dx.doi.org/10.1016/j.still.2024.106376</v>
      </c>
      <c r="BI235" s="30" t="s">
        <v>245</v>
      </c>
      <c r="BJ235" s="30" t="s">
        <v>1338</v>
      </c>
      <c r="BK235" s="30" t="s">
        <v>245</v>
      </c>
      <c r="BL235" s="30" t="s">
        <v>245</v>
      </c>
      <c r="BM235" s="30" t="s">
        <v>245</v>
      </c>
      <c r="BN235" s="30" t="s">
        <v>245</v>
      </c>
      <c r="BO235" s="30" t="s">
        <v>245</v>
      </c>
      <c r="BP235" s="30" t="s">
        <v>245</v>
      </c>
      <c r="BQ235" s="30" t="s">
        <v>245</v>
      </c>
      <c r="BR235" s="30" t="s">
        <v>245</v>
      </c>
      <c r="BS235" s="30" t="s">
        <v>245</v>
      </c>
      <c r="BT235" s="30" t="s">
        <v>245</v>
      </c>
      <c r="BU235" s="30" t="s">
        <v>2093</v>
      </c>
      <c r="BV235" s="30" t="str">
        <f>HYPERLINK("https%3A%2F%2Fwww.webofscience.com%2Fwos%2Fwoscc%2Ffull-record%2FWOS:001391254400001","View Full Record in Web of Science")</f>
        <v>View Full Record in Web of Science</v>
      </c>
    </row>
    <row r="236" spans="1:74" x14ac:dyDescent="0.2">
      <c r="A236" s="30" t="s">
        <v>851</v>
      </c>
      <c r="B236" s="30" t="s">
        <v>2094</v>
      </c>
      <c r="C236" s="30" t="s">
        <v>245</v>
      </c>
      <c r="D236" s="30" t="s">
        <v>2095</v>
      </c>
      <c r="E236" s="30" t="s">
        <v>245</v>
      </c>
      <c r="F236" s="30" t="s">
        <v>2096</v>
      </c>
      <c r="G236" s="30" t="s">
        <v>245</v>
      </c>
      <c r="H236" s="30" t="s">
        <v>245</v>
      </c>
      <c r="I236" s="30" t="s">
        <v>2826</v>
      </c>
      <c r="K236" s="30" t="s">
        <v>2097</v>
      </c>
      <c r="L236" s="30" t="s">
        <v>2098</v>
      </c>
      <c r="M236" s="30" t="s">
        <v>2099</v>
      </c>
      <c r="N236" s="30" t="s">
        <v>245</v>
      </c>
      <c r="O236" s="30" t="s">
        <v>245</v>
      </c>
      <c r="P236" s="30" t="s">
        <v>245</v>
      </c>
      <c r="Q236" s="30" t="s">
        <v>2100</v>
      </c>
      <c r="R236" s="30" t="s">
        <v>2101</v>
      </c>
      <c r="S236" s="30" t="s">
        <v>2102</v>
      </c>
      <c r="T236" s="30" t="s">
        <v>245</v>
      </c>
      <c r="U236" s="30" t="s">
        <v>2103</v>
      </c>
      <c r="V236" s="30" t="s">
        <v>245</v>
      </c>
      <c r="W236" s="30" t="s">
        <v>245</v>
      </c>
      <c r="X236" s="30" t="s">
        <v>245</v>
      </c>
      <c r="Y236" s="30" t="s">
        <v>245</v>
      </c>
      <c r="Z236" s="30" t="s">
        <v>245</v>
      </c>
      <c r="AA236" s="30" t="s">
        <v>245</v>
      </c>
      <c r="AB236" s="30" t="s">
        <v>245</v>
      </c>
      <c r="AC236" s="30" t="s">
        <v>2104</v>
      </c>
      <c r="AD236" s="30" t="s">
        <v>245</v>
      </c>
      <c r="AE236" s="30" t="s">
        <v>245</v>
      </c>
      <c r="AF236" s="30" t="s">
        <v>245</v>
      </c>
      <c r="AG236" s="30" t="s">
        <v>245</v>
      </c>
      <c r="AH236" s="30" t="s">
        <v>245</v>
      </c>
      <c r="AI236" s="30" t="s">
        <v>245</v>
      </c>
      <c r="AJ236" s="30" t="s">
        <v>245</v>
      </c>
      <c r="AK236" s="30" t="s">
        <v>245</v>
      </c>
      <c r="AL236" s="30" t="s">
        <v>245</v>
      </c>
      <c r="AM236" s="30" t="s">
        <v>245</v>
      </c>
      <c r="AN236" s="30" t="s">
        <v>245</v>
      </c>
      <c r="AO236" s="30" t="s">
        <v>245</v>
      </c>
      <c r="AP236" s="30" t="s">
        <v>245</v>
      </c>
      <c r="AQ236" s="30" t="s">
        <v>245</v>
      </c>
      <c r="AR236" s="30" t="s">
        <v>245</v>
      </c>
      <c r="AS236" s="30" t="s">
        <v>2105</v>
      </c>
      <c r="AT236" s="30" t="s">
        <v>245</v>
      </c>
      <c r="AU236" s="30" t="s">
        <v>245</v>
      </c>
      <c r="AV236" s="30" t="s">
        <v>245</v>
      </c>
      <c r="AW236" s="30">
        <v>2019</v>
      </c>
      <c r="AX236" s="30" t="s">
        <v>245</v>
      </c>
      <c r="AY236" s="30" t="s">
        <v>245</v>
      </c>
      <c r="AZ236" s="30" t="s">
        <v>245</v>
      </c>
      <c r="BA236" s="30" t="s">
        <v>245</v>
      </c>
      <c r="BB236" s="30" t="s">
        <v>245</v>
      </c>
      <c r="BC236" s="30" t="s">
        <v>245</v>
      </c>
      <c r="BD236" s="30">
        <v>29</v>
      </c>
      <c r="BE236" s="30">
        <v>43</v>
      </c>
      <c r="BF236" s="30" t="s">
        <v>245</v>
      </c>
      <c r="BG236" s="30" t="s">
        <v>2106</v>
      </c>
      <c r="BH236" s="30" t="str">
        <f>HYPERLINK("http://dx.doi.org/10.1007/978-3-030-17597-9_3","http://dx.doi.org/10.1007/978-3-030-17597-9_3")</f>
        <v>http://dx.doi.org/10.1007/978-3-030-17597-9_3</v>
      </c>
      <c r="BI236" s="30" t="s">
        <v>245</v>
      </c>
      <c r="BJ236" s="30" t="s">
        <v>245</v>
      </c>
      <c r="BK236" s="30" t="s">
        <v>245</v>
      </c>
      <c r="BL236" s="30" t="s">
        <v>245</v>
      </c>
      <c r="BM236" s="30" t="s">
        <v>245</v>
      </c>
      <c r="BN236" s="30" t="s">
        <v>245</v>
      </c>
      <c r="BO236" s="30" t="s">
        <v>245</v>
      </c>
      <c r="BP236" s="30" t="s">
        <v>245</v>
      </c>
      <c r="BQ236" s="30" t="s">
        <v>245</v>
      </c>
      <c r="BR236" s="30" t="s">
        <v>245</v>
      </c>
      <c r="BS236" s="30" t="s">
        <v>245</v>
      </c>
      <c r="BT236" s="30" t="s">
        <v>245</v>
      </c>
      <c r="BU236" s="30" t="s">
        <v>2107</v>
      </c>
      <c r="BV236" s="30" t="str">
        <f>HYPERLINK("https%3A%2F%2Fwww.webofscience.com%2Fwos%2Fwoscc%2Ffull-record%2FWOS:000578327200003","View Full Record in Web of Science")</f>
        <v>View Full Record in Web of Science</v>
      </c>
    </row>
    <row r="237" spans="1:74" x14ac:dyDescent="0.2">
      <c r="A237" s="30" t="s">
        <v>243</v>
      </c>
      <c r="B237" s="30" t="s">
        <v>2108</v>
      </c>
      <c r="C237" s="30" t="s">
        <v>245</v>
      </c>
      <c r="D237" s="30" t="s">
        <v>245</v>
      </c>
      <c r="E237" s="30" t="s">
        <v>245</v>
      </c>
      <c r="F237" s="30" t="s">
        <v>2109</v>
      </c>
      <c r="G237" s="30" t="s">
        <v>245</v>
      </c>
      <c r="H237" s="30" t="s">
        <v>245</v>
      </c>
      <c r="J237" s="30" t="s">
        <v>2834</v>
      </c>
      <c r="K237" s="30" t="s">
        <v>2110</v>
      </c>
      <c r="L237" s="30" t="s">
        <v>2111</v>
      </c>
      <c r="M237" s="30" t="s">
        <v>245</v>
      </c>
      <c r="N237" s="30" t="s">
        <v>245</v>
      </c>
      <c r="O237" s="30" t="s">
        <v>245</v>
      </c>
      <c r="P237" s="30" t="s">
        <v>245</v>
      </c>
      <c r="Q237" s="30" t="s">
        <v>245</v>
      </c>
      <c r="R237" s="30" t="s">
        <v>245</v>
      </c>
      <c r="S237" s="30" t="s">
        <v>245</v>
      </c>
      <c r="T237" s="30" t="s">
        <v>245</v>
      </c>
      <c r="U237" s="30" t="s">
        <v>245</v>
      </c>
      <c r="V237" s="30" t="s">
        <v>245</v>
      </c>
      <c r="W237" s="30" t="s">
        <v>245</v>
      </c>
      <c r="X237" s="30" t="s">
        <v>245</v>
      </c>
      <c r="Y237" s="30" t="s">
        <v>245</v>
      </c>
      <c r="Z237" s="30" t="s">
        <v>245</v>
      </c>
      <c r="AA237" s="30" t="s">
        <v>245</v>
      </c>
      <c r="AB237" s="30" t="s">
        <v>245</v>
      </c>
      <c r="AC237" s="30" t="s">
        <v>2112</v>
      </c>
      <c r="AD237" s="30" t="s">
        <v>245</v>
      </c>
      <c r="AE237" s="30" t="s">
        <v>245</v>
      </c>
      <c r="AF237" s="30" t="s">
        <v>245</v>
      </c>
      <c r="AG237" s="30" t="s">
        <v>245</v>
      </c>
      <c r="AH237" s="30" t="s">
        <v>245</v>
      </c>
      <c r="AI237" s="30" t="s">
        <v>245</v>
      </c>
      <c r="AJ237" s="30" t="s">
        <v>245</v>
      </c>
      <c r="AK237" s="30" t="s">
        <v>245</v>
      </c>
      <c r="AL237" s="30" t="s">
        <v>245</v>
      </c>
      <c r="AM237" s="30" t="s">
        <v>245</v>
      </c>
      <c r="AN237" s="30" t="s">
        <v>245</v>
      </c>
      <c r="AO237" s="30" t="s">
        <v>245</v>
      </c>
      <c r="AP237" s="30" t="s">
        <v>245</v>
      </c>
      <c r="AQ237" s="30" t="s">
        <v>2113</v>
      </c>
      <c r="AR237" s="30" t="s">
        <v>2114</v>
      </c>
      <c r="AS237" s="30" t="s">
        <v>245</v>
      </c>
      <c r="AT237" s="30" t="s">
        <v>245</v>
      </c>
      <c r="AU237" s="30" t="s">
        <v>245</v>
      </c>
      <c r="AV237" s="30" t="s">
        <v>1237</v>
      </c>
      <c r="AW237" s="30">
        <v>2023</v>
      </c>
      <c r="AX237" s="30">
        <v>347</v>
      </c>
      <c r="AY237" s="30" t="s">
        <v>245</v>
      </c>
      <c r="AZ237" s="30" t="s">
        <v>245</v>
      </c>
      <c r="BA237" s="30" t="s">
        <v>245</v>
      </c>
      <c r="BB237" s="30" t="s">
        <v>245</v>
      </c>
      <c r="BC237" s="30" t="s">
        <v>245</v>
      </c>
      <c r="BD237" s="30">
        <v>28</v>
      </c>
      <c r="BE237" s="30">
        <v>41</v>
      </c>
      <c r="BF237" s="30" t="s">
        <v>245</v>
      </c>
      <c r="BG237" s="30" t="s">
        <v>2115</v>
      </c>
      <c r="BH237" s="30" t="str">
        <f>HYPERLINK("http://dx.doi.org/10.1016/j.gca.2023.02.013","http://dx.doi.org/10.1016/j.gca.2023.02.013")</f>
        <v>http://dx.doi.org/10.1016/j.gca.2023.02.013</v>
      </c>
      <c r="BI237" s="30" t="s">
        <v>245</v>
      </c>
      <c r="BJ237" s="30" t="s">
        <v>2116</v>
      </c>
      <c r="BK237" s="30" t="s">
        <v>245</v>
      </c>
      <c r="BL237" s="30" t="s">
        <v>245</v>
      </c>
      <c r="BM237" s="30" t="s">
        <v>245</v>
      </c>
      <c r="BN237" s="30" t="s">
        <v>245</v>
      </c>
      <c r="BO237" s="30" t="s">
        <v>245</v>
      </c>
      <c r="BP237" s="30" t="s">
        <v>245</v>
      </c>
      <c r="BQ237" s="30" t="s">
        <v>245</v>
      </c>
      <c r="BR237" s="30" t="s">
        <v>245</v>
      </c>
      <c r="BS237" s="30" t="s">
        <v>245</v>
      </c>
      <c r="BT237" s="30" t="s">
        <v>245</v>
      </c>
      <c r="BU237" s="30" t="s">
        <v>2117</v>
      </c>
      <c r="BV237" s="30" t="str">
        <f>HYPERLINK("https%3A%2F%2Fwww.webofscience.com%2Fwos%2Fwoscc%2Ffull-record%2FWOS:000990982800001","View Full Record in Web of Science")</f>
        <v>View Full Record in Web of Science</v>
      </c>
    </row>
    <row r="238" spans="1:74" x14ac:dyDescent="0.2">
      <c r="A238" s="30" t="s">
        <v>243</v>
      </c>
      <c r="B238" s="30" t="s">
        <v>2118</v>
      </c>
      <c r="C238" s="30" t="s">
        <v>245</v>
      </c>
      <c r="D238" s="30" t="s">
        <v>245</v>
      </c>
      <c r="E238" s="30" t="s">
        <v>245</v>
      </c>
      <c r="F238" s="30" t="s">
        <v>2118</v>
      </c>
      <c r="G238" s="30" t="s">
        <v>245</v>
      </c>
      <c r="H238" s="30" t="s">
        <v>245</v>
      </c>
      <c r="I238" s="30" t="s">
        <v>2823</v>
      </c>
      <c r="K238" s="30" t="s">
        <v>2119</v>
      </c>
      <c r="L238" s="30" t="s">
        <v>336</v>
      </c>
      <c r="M238" s="30" t="s">
        <v>245</v>
      </c>
      <c r="N238" s="30" t="s">
        <v>245</v>
      </c>
      <c r="O238" s="30" t="s">
        <v>245</v>
      </c>
      <c r="P238" s="30" t="s">
        <v>245</v>
      </c>
      <c r="Q238" s="30" t="s">
        <v>245</v>
      </c>
      <c r="R238" s="30" t="s">
        <v>245</v>
      </c>
      <c r="S238" s="30" t="s">
        <v>245</v>
      </c>
      <c r="T238" s="30" t="s">
        <v>245</v>
      </c>
      <c r="U238" s="30" t="s">
        <v>245</v>
      </c>
      <c r="V238" s="30" t="s">
        <v>245</v>
      </c>
      <c r="W238" s="30" t="s">
        <v>245</v>
      </c>
      <c r="X238" s="30" t="s">
        <v>245</v>
      </c>
      <c r="Y238" s="30" t="s">
        <v>245</v>
      </c>
      <c r="Z238" s="30" t="s">
        <v>245</v>
      </c>
      <c r="AA238" s="30" t="s">
        <v>245</v>
      </c>
      <c r="AB238" s="30" t="s">
        <v>245</v>
      </c>
      <c r="AC238" s="30" t="s">
        <v>2120</v>
      </c>
      <c r="AD238" s="30" t="s">
        <v>2121</v>
      </c>
      <c r="AE238" s="30" t="s">
        <v>245</v>
      </c>
      <c r="AF238" s="30" t="s">
        <v>245</v>
      </c>
      <c r="AG238" s="30" t="s">
        <v>245</v>
      </c>
      <c r="AH238" s="30" t="s">
        <v>245</v>
      </c>
      <c r="AI238" s="30" t="s">
        <v>245</v>
      </c>
      <c r="AJ238" s="30" t="s">
        <v>245</v>
      </c>
      <c r="AK238" s="30" t="s">
        <v>245</v>
      </c>
      <c r="AL238" s="30" t="s">
        <v>245</v>
      </c>
      <c r="AM238" s="30" t="s">
        <v>245</v>
      </c>
      <c r="AN238" s="30" t="s">
        <v>245</v>
      </c>
      <c r="AO238" s="30" t="s">
        <v>245</v>
      </c>
      <c r="AP238" s="30" t="s">
        <v>245</v>
      </c>
      <c r="AQ238" s="30" t="s">
        <v>343</v>
      </c>
      <c r="AR238" s="30" t="s">
        <v>245</v>
      </c>
      <c r="AS238" s="30" t="s">
        <v>245</v>
      </c>
      <c r="AT238" s="30" t="s">
        <v>245</v>
      </c>
      <c r="AU238" s="30" t="s">
        <v>245</v>
      </c>
      <c r="AV238" s="30" t="s">
        <v>550</v>
      </c>
      <c r="AW238" s="30">
        <v>2000</v>
      </c>
      <c r="AX238" s="30">
        <v>58</v>
      </c>
      <c r="AY238" s="30" t="s">
        <v>345</v>
      </c>
      <c r="AZ238" s="30" t="s">
        <v>245</v>
      </c>
      <c r="BA238" s="30" t="s">
        <v>245</v>
      </c>
      <c r="BB238" s="30" t="s">
        <v>245</v>
      </c>
      <c r="BC238" s="30" t="s">
        <v>245</v>
      </c>
      <c r="BD238" s="30">
        <v>23</v>
      </c>
      <c r="BE238" s="30">
        <v>36</v>
      </c>
      <c r="BF238" s="30" t="s">
        <v>245</v>
      </c>
      <c r="BG238" s="30" t="s">
        <v>2122</v>
      </c>
      <c r="BH238" s="30" t="str">
        <f>HYPERLINK("http://dx.doi.org/10.1023/A:1009874014903","http://dx.doi.org/10.1023/A:1009874014903")</f>
        <v>http://dx.doi.org/10.1023/A:1009874014903</v>
      </c>
      <c r="BI238" s="30" t="s">
        <v>245</v>
      </c>
      <c r="BJ238" s="30" t="s">
        <v>245</v>
      </c>
      <c r="BK238" s="30" t="s">
        <v>245</v>
      </c>
      <c r="BL238" s="30" t="s">
        <v>245</v>
      </c>
      <c r="BM238" s="30" t="s">
        <v>245</v>
      </c>
      <c r="BN238" s="30" t="s">
        <v>245</v>
      </c>
      <c r="BO238" s="30" t="s">
        <v>245</v>
      </c>
      <c r="BP238" s="30" t="s">
        <v>245</v>
      </c>
      <c r="BQ238" s="30" t="s">
        <v>245</v>
      </c>
      <c r="BR238" s="30" t="s">
        <v>245</v>
      </c>
      <c r="BS238" s="30" t="s">
        <v>245</v>
      </c>
      <c r="BT238" s="30" t="s">
        <v>245</v>
      </c>
      <c r="BU238" s="30" t="s">
        <v>2123</v>
      </c>
      <c r="BV238" s="30" t="str">
        <f>HYPERLINK("https%3A%2F%2Fwww.webofscience.com%2Fwos%2Fwoscc%2Ffull-record%2FWOS:000166362400003","View Full Record in Web of Science")</f>
        <v>View Full Record in Web of Science</v>
      </c>
    </row>
    <row r="239" spans="1:74" x14ac:dyDescent="0.2">
      <c r="A239" s="30" t="s">
        <v>243</v>
      </c>
      <c r="B239" s="30" t="s">
        <v>2124</v>
      </c>
      <c r="C239" s="30" t="s">
        <v>245</v>
      </c>
      <c r="D239" s="30" t="s">
        <v>245</v>
      </c>
      <c r="E239" s="30" t="s">
        <v>245</v>
      </c>
      <c r="F239" s="30" t="s">
        <v>2125</v>
      </c>
      <c r="G239" s="30" t="s">
        <v>245</v>
      </c>
      <c r="H239" s="30" t="s">
        <v>245</v>
      </c>
      <c r="J239" s="30" t="s">
        <v>2833</v>
      </c>
      <c r="K239" s="30" t="s">
        <v>2126</v>
      </c>
      <c r="L239" s="30" t="s">
        <v>413</v>
      </c>
      <c r="M239" s="30" t="s">
        <v>245</v>
      </c>
      <c r="N239" s="30" t="s">
        <v>245</v>
      </c>
      <c r="O239" s="30" t="s">
        <v>245</v>
      </c>
      <c r="P239" s="30" t="s">
        <v>245</v>
      </c>
      <c r="Q239" s="30" t="s">
        <v>245</v>
      </c>
      <c r="R239" s="30" t="s">
        <v>245</v>
      </c>
      <c r="S239" s="30" t="s">
        <v>245</v>
      </c>
      <c r="T239" s="30" t="s">
        <v>245</v>
      </c>
      <c r="U239" s="30" t="s">
        <v>245</v>
      </c>
      <c r="V239" s="30" t="s">
        <v>245</v>
      </c>
      <c r="W239" s="30" t="s">
        <v>245</v>
      </c>
      <c r="X239" s="30" t="s">
        <v>245</v>
      </c>
      <c r="Y239" s="30" t="s">
        <v>245</v>
      </c>
      <c r="Z239" s="30" t="s">
        <v>245</v>
      </c>
      <c r="AA239" s="30" t="s">
        <v>245</v>
      </c>
      <c r="AB239" s="30" t="s">
        <v>245</v>
      </c>
      <c r="AC239" s="30" t="s">
        <v>2127</v>
      </c>
      <c r="AD239" s="30" t="s">
        <v>2128</v>
      </c>
      <c r="AE239" s="30" t="s">
        <v>245</v>
      </c>
      <c r="AF239" s="30" t="s">
        <v>245</v>
      </c>
      <c r="AG239" s="30" t="s">
        <v>245</v>
      </c>
      <c r="AH239" s="30" t="s">
        <v>245</v>
      </c>
      <c r="AI239" s="30" t="s">
        <v>245</v>
      </c>
      <c r="AJ239" s="30" t="s">
        <v>245</v>
      </c>
      <c r="AK239" s="30" t="s">
        <v>245</v>
      </c>
      <c r="AL239" s="30" t="s">
        <v>245</v>
      </c>
      <c r="AM239" s="30" t="s">
        <v>245</v>
      </c>
      <c r="AN239" s="30" t="s">
        <v>245</v>
      </c>
      <c r="AO239" s="30" t="s">
        <v>245</v>
      </c>
      <c r="AP239" s="30" t="s">
        <v>245</v>
      </c>
      <c r="AQ239" s="30" t="s">
        <v>416</v>
      </c>
      <c r="AR239" s="30" t="s">
        <v>417</v>
      </c>
      <c r="AS239" s="30" t="s">
        <v>245</v>
      </c>
      <c r="AT239" s="30" t="s">
        <v>245</v>
      </c>
      <c r="AU239" s="30" t="s">
        <v>245</v>
      </c>
      <c r="AV239" s="30" t="s">
        <v>384</v>
      </c>
      <c r="AW239" s="30">
        <v>2023</v>
      </c>
      <c r="AX239" s="30">
        <v>877</v>
      </c>
      <c r="AY239" s="30" t="s">
        <v>245</v>
      </c>
      <c r="AZ239" s="30" t="s">
        <v>245</v>
      </c>
      <c r="BA239" s="30" t="s">
        <v>245</v>
      </c>
      <c r="BB239" s="30" t="s">
        <v>245</v>
      </c>
      <c r="BC239" s="30" t="s">
        <v>245</v>
      </c>
      <c r="BD239" s="30" t="s">
        <v>245</v>
      </c>
      <c r="BE239" s="30" t="s">
        <v>245</v>
      </c>
      <c r="BF239" s="30">
        <v>162837</v>
      </c>
      <c r="BG239" s="30" t="s">
        <v>2129</v>
      </c>
      <c r="BH239" s="30" t="str">
        <f>HYPERLINK("http://dx.doi.org/10.1016/j.scitotenv.2023.162837","http://dx.doi.org/10.1016/j.scitotenv.2023.162837")</f>
        <v>http://dx.doi.org/10.1016/j.scitotenv.2023.162837</v>
      </c>
      <c r="BI239" s="30" t="s">
        <v>245</v>
      </c>
      <c r="BJ239" s="30" t="s">
        <v>2116</v>
      </c>
      <c r="BK239" s="30" t="s">
        <v>245</v>
      </c>
      <c r="BL239" s="30" t="s">
        <v>245</v>
      </c>
      <c r="BM239" s="30" t="s">
        <v>245</v>
      </c>
      <c r="BN239" s="30" t="s">
        <v>245</v>
      </c>
      <c r="BO239" s="30" t="s">
        <v>245</v>
      </c>
      <c r="BP239" s="30">
        <v>36924958</v>
      </c>
      <c r="BQ239" s="30" t="s">
        <v>245</v>
      </c>
      <c r="BR239" s="30" t="s">
        <v>245</v>
      </c>
      <c r="BS239" s="30" t="s">
        <v>245</v>
      </c>
      <c r="BT239" s="30" t="s">
        <v>245</v>
      </c>
      <c r="BU239" s="30" t="s">
        <v>2130</v>
      </c>
      <c r="BV239" s="30" t="str">
        <f>HYPERLINK("https%3A%2F%2Fwww.webofscience.com%2Fwos%2Fwoscc%2Ffull-record%2FWOS:000959636900001","View Full Record in Web of Science")</f>
        <v>View Full Record in Web of Science</v>
      </c>
    </row>
    <row r="240" spans="1:74" x14ac:dyDescent="0.2">
      <c r="A240" s="30" t="s">
        <v>243</v>
      </c>
      <c r="B240" s="30" t="s">
        <v>2131</v>
      </c>
      <c r="C240" s="30" t="s">
        <v>245</v>
      </c>
      <c r="D240" s="30" t="s">
        <v>245</v>
      </c>
      <c r="E240" s="30" t="s">
        <v>245</v>
      </c>
      <c r="F240" s="30" t="s">
        <v>2132</v>
      </c>
      <c r="G240" s="30" t="s">
        <v>245</v>
      </c>
      <c r="H240" s="30" t="s">
        <v>245</v>
      </c>
      <c r="J240" s="30" t="s">
        <v>2825</v>
      </c>
      <c r="K240" s="30" t="s">
        <v>2133</v>
      </c>
      <c r="L240" s="30" t="s">
        <v>248</v>
      </c>
      <c r="M240" s="30" t="s">
        <v>245</v>
      </c>
      <c r="N240" s="30" t="s">
        <v>245</v>
      </c>
      <c r="O240" s="30" t="s">
        <v>245</v>
      </c>
      <c r="P240" s="30" t="s">
        <v>245</v>
      </c>
      <c r="Q240" s="30" t="s">
        <v>245</v>
      </c>
      <c r="R240" s="30" t="s">
        <v>245</v>
      </c>
      <c r="S240" s="30" t="s">
        <v>245</v>
      </c>
      <c r="T240" s="30" t="s">
        <v>245</v>
      </c>
      <c r="U240" s="30" t="s">
        <v>245</v>
      </c>
      <c r="V240" s="30" t="s">
        <v>245</v>
      </c>
      <c r="W240" s="30" t="s">
        <v>245</v>
      </c>
      <c r="X240" s="30" t="s">
        <v>245</v>
      </c>
      <c r="Y240" s="30" t="s">
        <v>245</v>
      </c>
      <c r="Z240" s="30" t="s">
        <v>245</v>
      </c>
      <c r="AA240" s="30" t="s">
        <v>245</v>
      </c>
      <c r="AB240" s="30" t="s">
        <v>245</v>
      </c>
      <c r="AC240" s="30" t="s">
        <v>2134</v>
      </c>
      <c r="AD240" s="30" t="s">
        <v>2135</v>
      </c>
      <c r="AE240" s="30" t="s">
        <v>245</v>
      </c>
      <c r="AF240" s="30" t="s">
        <v>245</v>
      </c>
      <c r="AG240" s="30" t="s">
        <v>245</v>
      </c>
      <c r="AH240" s="30" t="s">
        <v>245</v>
      </c>
      <c r="AI240" s="30" t="s">
        <v>245</v>
      </c>
      <c r="AJ240" s="30" t="s">
        <v>245</v>
      </c>
      <c r="AK240" s="30" t="s">
        <v>245</v>
      </c>
      <c r="AL240" s="30" t="s">
        <v>245</v>
      </c>
      <c r="AM240" s="30" t="s">
        <v>245</v>
      </c>
      <c r="AN240" s="30" t="s">
        <v>245</v>
      </c>
      <c r="AO240" s="30" t="s">
        <v>245</v>
      </c>
      <c r="AP240" s="30" t="s">
        <v>245</v>
      </c>
      <c r="AQ240" s="30" t="s">
        <v>251</v>
      </c>
      <c r="AR240" s="30" t="s">
        <v>245</v>
      </c>
      <c r="AS240" s="30" t="s">
        <v>245</v>
      </c>
      <c r="AT240" s="30" t="s">
        <v>245</v>
      </c>
      <c r="AU240" s="30" t="s">
        <v>245</v>
      </c>
      <c r="AV240" s="30" t="s">
        <v>245</v>
      </c>
      <c r="AW240" s="30">
        <v>2007</v>
      </c>
      <c r="AX240" s="30">
        <v>38</v>
      </c>
      <c r="AY240" s="30" t="s">
        <v>436</v>
      </c>
      <c r="AZ240" s="30" t="s">
        <v>245</v>
      </c>
      <c r="BA240" s="30" t="s">
        <v>245</v>
      </c>
      <c r="BB240" s="30" t="s">
        <v>245</v>
      </c>
      <c r="BC240" s="30" t="s">
        <v>245</v>
      </c>
      <c r="BD240" s="30">
        <v>189</v>
      </c>
      <c r="BE240" s="30">
        <v>204</v>
      </c>
      <c r="BF240" s="30" t="s">
        <v>245</v>
      </c>
      <c r="BG240" s="30" t="s">
        <v>2136</v>
      </c>
      <c r="BH240" s="30" t="str">
        <f>HYPERLINK("http://dx.doi.org/10.1080/00103620601094122","http://dx.doi.org/10.1080/00103620601094122")</f>
        <v>http://dx.doi.org/10.1080/00103620601094122</v>
      </c>
      <c r="BI240" s="30" t="s">
        <v>245</v>
      </c>
      <c r="BJ240" s="30" t="s">
        <v>245</v>
      </c>
      <c r="BK240" s="30" t="s">
        <v>245</v>
      </c>
      <c r="BL240" s="30" t="s">
        <v>245</v>
      </c>
      <c r="BM240" s="30" t="s">
        <v>245</v>
      </c>
      <c r="BN240" s="30" t="s">
        <v>245</v>
      </c>
      <c r="BO240" s="30" t="s">
        <v>245</v>
      </c>
      <c r="BP240" s="30" t="s">
        <v>245</v>
      </c>
      <c r="BQ240" s="30" t="s">
        <v>245</v>
      </c>
      <c r="BR240" s="30" t="s">
        <v>245</v>
      </c>
      <c r="BS240" s="30" t="s">
        <v>245</v>
      </c>
      <c r="BT240" s="30" t="s">
        <v>245</v>
      </c>
      <c r="BU240" s="30" t="s">
        <v>2137</v>
      </c>
      <c r="BV240" s="30" t="str">
        <f>HYPERLINK("https%3A%2F%2Fwww.webofscience.com%2Fwos%2Fwoscc%2Ffull-record%2FWOS:000244360400014","View Full Record in Web of Science")</f>
        <v>View Full Record in Web of Science</v>
      </c>
    </row>
    <row r="241" spans="1:74" x14ac:dyDescent="0.2">
      <c r="A241" s="30" t="s">
        <v>243</v>
      </c>
      <c r="B241" s="30" t="s">
        <v>2138</v>
      </c>
      <c r="C241" s="30" t="s">
        <v>245</v>
      </c>
      <c r="D241" s="30" t="s">
        <v>245</v>
      </c>
      <c r="E241" s="30" t="s">
        <v>245</v>
      </c>
      <c r="F241" s="30" t="s">
        <v>2139</v>
      </c>
      <c r="G241" s="30" t="s">
        <v>245</v>
      </c>
      <c r="H241" s="30" t="s">
        <v>245</v>
      </c>
      <c r="I241" s="30" t="s">
        <v>2823</v>
      </c>
      <c r="K241" s="30" t="s">
        <v>2140</v>
      </c>
      <c r="L241" s="30" t="s">
        <v>1092</v>
      </c>
      <c r="M241" s="30" t="s">
        <v>245</v>
      </c>
      <c r="N241" s="30" t="s">
        <v>245</v>
      </c>
      <c r="O241" s="30" t="s">
        <v>245</v>
      </c>
      <c r="P241" s="30" t="s">
        <v>245</v>
      </c>
      <c r="Q241" s="30" t="s">
        <v>245</v>
      </c>
      <c r="R241" s="30" t="s">
        <v>245</v>
      </c>
      <c r="S241" s="30" t="s">
        <v>245</v>
      </c>
      <c r="T241" s="30" t="s">
        <v>245</v>
      </c>
      <c r="U241" s="30" t="s">
        <v>245</v>
      </c>
      <c r="V241" s="30" t="s">
        <v>245</v>
      </c>
      <c r="W241" s="30" t="s">
        <v>245</v>
      </c>
      <c r="X241" s="30" t="s">
        <v>245</v>
      </c>
      <c r="Y241" s="30" t="s">
        <v>245</v>
      </c>
      <c r="Z241" s="30" t="s">
        <v>245</v>
      </c>
      <c r="AA241" s="30" t="s">
        <v>245</v>
      </c>
      <c r="AB241" s="30" t="s">
        <v>245</v>
      </c>
      <c r="AC241" s="30" t="s">
        <v>245</v>
      </c>
      <c r="AD241" s="30" t="s">
        <v>2141</v>
      </c>
      <c r="AE241" s="30" t="s">
        <v>245</v>
      </c>
      <c r="AF241" s="30" t="s">
        <v>245</v>
      </c>
      <c r="AG241" s="30" t="s">
        <v>245</v>
      </c>
      <c r="AH241" s="30" t="s">
        <v>245</v>
      </c>
      <c r="AI241" s="30" t="s">
        <v>245</v>
      </c>
      <c r="AJ241" s="30" t="s">
        <v>245</v>
      </c>
      <c r="AK241" s="30" t="s">
        <v>245</v>
      </c>
      <c r="AL241" s="30" t="s">
        <v>245</v>
      </c>
      <c r="AM241" s="30" t="s">
        <v>245</v>
      </c>
      <c r="AN241" s="30" t="s">
        <v>245</v>
      </c>
      <c r="AO241" s="30" t="s">
        <v>245</v>
      </c>
      <c r="AP241" s="30" t="s">
        <v>245</v>
      </c>
      <c r="AQ241" s="30" t="s">
        <v>1095</v>
      </c>
      <c r="AR241" s="30" t="s">
        <v>1096</v>
      </c>
      <c r="AS241" s="30" t="s">
        <v>245</v>
      </c>
      <c r="AT241" s="30" t="s">
        <v>245</v>
      </c>
      <c r="AU241" s="30" t="s">
        <v>245</v>
      </c>
      <c r="AV241" s="30" t="s">
        <v>575</v>
      </c>
      <c r="AW241" s="30">
        <v>2019</v>
      </c>
      <c r="AX241" s="30">
        <v>111</v>
      </c>
      <c r="AY241" s="30">
        <v>2</v>
      </c>
      <c r="AZ241" s="30" t="s">
        <v>245</v>
      </c>
      <c r="BA241" s="30" t="s">
        <v>245</v>
      </c>
      <c r="BB241" s="30" t="s">
        <v>245</v>
      </c>
      <c r="BC241" s="30" t="s">
        <v>245</v>
      </c>
      <c r="BD241" s="30">
        <v>473</v>
      </c>
      <c r="BE241" s="30">
        <v>481</v>
      </c>
      <c r="BF241" s="30" t="s">
        <v>245</v>
      </c>
      <c r="BG241" s="30" t="s">
        <v>2142</v>
      </c>
      <c r="BH241" s="30" t="str">
        <f>HYPERLINK("http://dx.doi.org/10.2134/agronj2018.02.0091","http://dx.doi.org/10.2134/agronj2018.02.0091")</f>
        <v>http://dx.doi.org/10.2134/agronj2018.02.0091</v>
      </c>
      <c r="BI241" s="30" t="s">
        <v>245</v>
      </c>
      <c r="BJ241" s="30" t="s">
        <v>245</v>
      </c>
      <c r="BK241" s="30" t="s">
        <v>245</v>
      </c>
      <c r="BL241" s="30" t="s">
        <v>245</v>
      </c>
      <c r="BM241" s="30" t="s">
        <v>245</v>
      </c>
      <c r="BN241" s="30" t="s">
        <v>245</v>
      </c>
      <c r="BO241" s="30" t="s">
        <v>245</v>
      </c>
      <c r="BP241" s="30" t="s">
        <v>245</v>
      </c>
      <c r="BQ241" s="30" t="s">
        <v>245</v>
      </c>
      <c r="BR241" s="30" t="s">
        <v>245</v>
      </c>
      <c r="BS241" s="30" t="s">
        <v>245</v>
      </c>
      <c r="BT241" s="30" t="s">
        <v>245</v>
      </c>
      <c r="BU241" s="30" t="s">
        <v>2143</v>
      </c>
      <c r="BV241" s="30" t="str">
        <f>HYPERLINK("https%3A%2F%2Fwww.webofscience.com%2Fwos%2Fwoscc%2Ffull-record%2FWOS:000462738100002","View Full Record in Web of Science")</f>
        <v>View Full Record in Web of Science</v>
      </c>
    </row>
    <row r="242" spans="1:74" x14ac:dyDescent="0.2">
      <c r="A242" s="30" t="s">
        <v>243</v>
      </c>
      <c r="B242" s="30" t="s">
        <v>2144</v>
      </c>
      <c r="C242" s="30" t="s">
        <v>245</v>
      </c>
      <c r="D242" s="30" t="s">
        <v>245</v>
      </c>
      <c r="E242" s="30" t="s">
        <v>245</v>
      </c>
      <c r="F242" s="30" t="s">
        <v>2145</v>
      </c>
      <c r="G242" s="30" t="s">
        <v>245</v>
      </c>
      <c r="H242" s="30" t="s">
        <v>245</v>
      </c>
      <c r="I242" s="30" t="s">
        <v>2821</v>
      </c>
      <c r="K242" s="30" t="s">
        <v>2146</v>
      </c>
      <c r="L242" s="30" t="s">
        <v>413</v>
      </c>
      <c r="M242" s="30" t="s">
        <v>245</v>
      </c>
      <c r="N242" s="30" t="s">
        <v>245</v>
      </c>
      <c r="O242" s="30" t="s">
        <v>245</v>
      </c>
      <c r="P242" s="30" t="s">
        <v>245</v>
      </c>
      <c r="Q242" s="30" t="s">
        <v>245</v>
      </c>
      <c r="R242" s="30" t="s">
        <v>245</v>
      </c>
      <c r="S242" s="30" t="s">
        <v>245</v>
      </c>
      <c r="T242" s="30" t="s">
        <v>245</v>
      </c>
      <c r="U242" s="30" t="s">
        <v>245</v>
      </c>
      <c r="V242" s="30" t="s">
        <v>245</v>
      </c>
      <c r="W242" s="30" t="s">
        <v>245</v>
      </c>
      <c r="X242" s="30" t="s">
        <v>245</v>
      </c>
      <c r="Y242" s="30" t="s">
        <v>245</v>
      </c>
      <c r="Z242" s="30" t="s">
        <v>245</v>
      </c>
      <c r="AA242" s="30" t="s">
        <v>245</v>
      </c>
      <c r="AB242" s="30" t="s">
        <v>245</v>
      </c>
      <c r="AC242" s="30" t="s">
        <v>245</v>
      </c>
      <c r="AD242" s="30" t="s">
        <v>245</v>
      </c>
      <c r="AE242" s="30" t="s">
        <v>245</v>
      </c>
      <c r="AF242" s="30" t="s">
        <v>245</v>
      </c>
      <c r="AG242" s="30" t="s">
        <v>245</v>
      </c>
      <c r="AH242" s="30" t="s">
        <v>245</v>
      </c>
      <c r="AI242" s="30" t="s">
        <v>245</v>
      </c>
      <c r="AJ242" s="30" t="s">
        <v>245</v>
      </c>
      <c r="AK242" s="30" t="s">
        <v>245</v>
      </c>
      <c r="AL242" s="30" t="s">
        <v>245</v>
      </c>
      <c r="AM242" s="30" t="s">
        <v>245</v>
      </c>
      <c r="AN242" s="30" t="s">
        <v>245</v>
      </c>
      <c r="AO242" s="30" t="s">
        <v>245</v>
      </c>
      <c r="AP242" s="30" t="s">
        <v>245</v>
      </c>
      <c r="AQ242" s="30" t="s">
        <v>416</v>
      </c>
      <c r="AR242" s="30" t="s">
        <v>417</v>
      </c>
      <c r="AS242" s="30" t="s">
        <v>245</v>
      </c>
      <c r="AT242" s="30" t="s">
        <v>245</v>
      </c>
      <c r="AU242" s="30" t="s">
        <v>245</v>
      </c>
      <c r="AV242" s="30" t="s">
        <v>1105</v>
      </c>
      <c r="AW242" s="30">
        <v>2022</v>
      </c>
      <c r="AX242" s="30">
        <v>804</v>
      </c>
      <c r="AY242" s="30" t="s">
        <v>245</v>
      </c>
      <c r="AZ242" s="30" t="s">
        <v>245</v>
      </c>
      <c r="BA242" s="30" t="s">
        <v>245</v>
      </c>
      <c r="BB242" s="30" t="s">
        <v>245</v>
      </c>
      <c r="BC242" s="30" t="s">
        <v>245</v>
      </c>
      <c r="BD242" s="30" t="s">
        <v>245</v>
      </c>
      <c r="BE242" s="30" t="s">
        <v>245</v>
      </c>
      <c r="BF242" s="30">
        <v>150246</v>
      </c>
      <c r="BG242" s="30" t="s">
        <v>2147</v>
      </c>
      <c r="BH242" s="30" t="str">
        <f>HYPERLINK("http://dx.doi.org/10.1016/j.scitotenv.2021.150246","http://dx.doi.org/10.1016/j.scitotenv.2021.150246")</f>
        <v>http://dx.doi.org/10.1016/j.scitotenv.2021.150246</v>
      </c>
      <c r="BI242" s="30" t="s">
        <v>245</v>
      </c>
      <c r="BJ242" s="30" t="s">
        <v>564</v>
      </c>
      <c r="BK242" s="30" t="s">
        <v>245</v>
      </c>
      <c r="BL242" s="30" t="s">
        <v>245</v>
      </c>
      <c r="BM242" s="30" t="s">
        <v>245</v>
      </c>
      <c r="BN242" s="30" t="s">
        <v>245</v>
      </c>
      <c r="BO242" s="30" t="s">
        <v>245</v>
      </c>
      <c r="BP242" s="30">
        <v>34798753</v>
      </c>
      <c r="BQ242" s="30" t="s">
        <v>245</v>
      </c>
      <c r="BR242" s="30" t="s">
        <v>245</v>
      </c>
      <c r="BS242" s="30" t="s">
        <v>245</v>
      </c>
      <c r="BT242" s="30" t="s">
        <v>245</v>
      </c>
      <c r="BU242" s="30" t="s">
        <v>2148</v>
      </c>
      <c r="BV242" s="30" t="str">
        <f>HYPERLINK("https%3A%2F%2Fwww.webofscience.com%2Fwos%2Fwoscc%2Ffull-record%2FWOS:000704389800015","View Full Record in Web of Science")</f>
        <v>View Full Record in Web of Science</v>
      </c>
    </row>
    <row r="243" spans="1:74" x14ac:dyDescent="0.2">
      <c r="A243" s="30" t="s">
        <v>243</v>
      </c>
      <c r="B243" s="30" t="s">
        <v>2149</v>
      </c>
      <c r="C243" s="30" t="s">
        <v>245</v>
      </c>
      <c r="D243" s="30" t="s">
        <v>245</v>
      </c>
      <c r="E243" s="30" t="s">
        <v>245</v>
      </c>
      <c r="F243" s="30" t="s">
        <v>2150</v>
      </c>
      <c r="G243" s="30" t="s">
        <v>245</v>
      </c>
      <c r="H243" s="30" t="s">
        <v>245</v>
      </c>
      <c r="I243" s="30" t="s">
        <v>2823</v>
      </c>
      <c r="K243" s="30" t="s">
        <v>2151</v>
      </c>
      <c r="L243" s="30" t="s">
        <v>501</v>
      </c>
      <c r="M243" s="30" t="s">
        <v>245</v>
      </c>
      <c r="N243" s="30" t="s">
        <v>245</v>
      </c>
      <c r="O243" s="30" t="s">
        <v>245</v>
      </c>
      <c r="P243" s="30" t="s">
        <v>245</v>
      </c>
      <c r="Q243" s="30" t="s">
        <v>245</v>
      </c>
      <c r="R243" s="30" t="s">
        <v>245</v>
      </c>
      <c r="S243" s="30" t="s">
        <v>245</v>
      </c>
      <c r="T243" s="30" t="s">
        <v>245</v>
      </c>
      <c r="U243" s="30" t="s">
        <v>245</v>
      </c>
      <c r="V243" s="30" t="s">
        <v>245</v>
      </c>
      <c r="W243" s="30" t="s">
        <v>245</v>
      </c>
      <c r="X243" s="30" t="s">
        <v>245</v>
      </c>
      <c r="Y243" s="30" t="s">
        <v>245</v>
      </c>
      <c r="Z243" s="30" t="s">
        <v>245</v>
      </c>
      <c r="AA243" s="30" t="s">
        <v>245</v>
      </c>
      <c r="AB243" s="30" t="s">
        <v>245</v>
      </c>
      <c r="AC243" s="30" t="s">
        <v>2152</v>
      </c>
      <c r="AD243" s="30" t="s">
        <v>2153</v>
      </c>
      <c r="AE243" s="30" t="s">
        <v>245</v>
      </c>
      <c r="AF243" s="30" t="s">
        <v>245</v>
      </c>
      <c r="AG243" s="30" t="s">
        <v>245</v>
      </c>
      <c r="AH243" s="30" t="s">
        <v>245</v>
      </c>
      <c r="AI243" s="30" t="s">
        <v>245</v>
      </c>
      <c r="AJ243" s="30" t="s">
        <v>245</v>
      </c>
      <c r="AK243" s="30" t="s">
        <v>245</v>
      </c>
      <c r="AL243" s="30" t="s">
        <v>245</v>
      </c>
      <c r="AM243" s="30" t="s">
        <v>245</v>
      </c>
      <c r="AN243" s="30" t="s">
        <v>245</v>
      </c>
      <c r="AO243" s="30" t="s">
        <v>245</v>
      </c>
      <c r="AP243" s="30" t="s">
        <v>245</v>
      </c>
      <c r="AQ243" s="30" t="s">
        <v>504</v>
      </c>
      <c r="AR243" s="30" t="s">
        <v>505</v>
      </c>
      <c r="AS243" s="30" t="s">
        <v>245</v>
      </c>
      <c r="AT243" s="30" t="s">
        <v>245</v>
      </c>
      <c r="AU243" s="30" t="s">
        <v>245</v>
      </c>
      <c r="AV243" s="30" t="s">
        <v>265</v>
      </c>
      <c r="AW243" s="30">
        <v>2014</v>
      </c>
      <c r="AX243" s="30">
        <v>78</v>
      </c>
      <c r="AY243" s="30" t="s">
        <v>245</v>
      </c>
      <c r="AZ243" s="30" t="s">
        <v>245</v>
      </c>
      <c r="BA243" s="30" t="s">
        <v>245</v>
      </c>
      <c r="BB243" s="30" t="s">
        <v>245</v>
      </c>
      <c r="BC243" s="30" t="s">
        <v>245</v>
      </c>
      <c r="BD243" s="30">
        <v>1</v>
      </c>
      <c r="BE243" s="30">
        <v>10</v>
      </c>
      <c r="BF243" s="30" t="s">
        <v>245</v>
      </c>
      <c r="BG243" s="30" t="s">
        <v>2154</v>
      </c>
      <c r="BH243" s="30" t="str">
        <f>HYPERLINK("http://dx.doi.org/10.1016/j.apsoil.2014.01.012","http://dx.doi.org/10.1016/j.apsoil.2014.01.012")</f>
        <v>http://dx.doi.org/10.1016/j.apsoil.2014.01.012</v>
      </c>
      <c r="BI243" s="30" t="s">
        <v>245</v>
      </c>
      <c r="BJ243" s="30" t="s">
        <v>245</v>
      </c>
      <c r="BK243" s="30" t="s">
        <v>245</v>
      </c>
      <c r="BL243" s="30" t="s">
        <v>245</v>
      </c>
      <c r="BM243" s="30" t="s">
        <v>245</v>
      </c>
      <c r="BN243" s="30" t="s">
        <v>245</v>
      </c>
      <c r="BO243" s="30" t="s">
        <v>245</v>
      </c>
      <c r="BP243" s="30" t="s">
        <v>245</v>
      </c>
      <c r="BQ243" s="30" t="s">
        <v>245</v>
      </c>
      <c r="BR243" s="30" t="s">
        <v>245</v>
      </c>
      <c r="BS243" s="30" t="s">
        <v>245</v>
      </c>
      <c r="BT243" s="30" t="s">
        <v>245</v>
      </c>
      <c r="BU243" s="30" t="s">
        <v>2155</v>
      </c>
      <c r="BV243" s="30" t="str">
        <f>HYPERLINK("https%3A%2F%2Fwww.webofscience.com%2Fwos%2Fwoscc%2Ffull-record%2FWOS:000335732500001","View Full Record in Web of Science")</f>
        <v>View Full Record in Web of Science</v>
      </c>
    </row>
    <row r="244" spans="1:74" x14ac:dyDescent="0.2">
      <c r="A244" s="30" t="s">
        <v>243</v>
      </c>
      <c r="B244" s="30" t="s">
        <v>2156</v>
      </c>
      <c r="C244" s="30" t="s">
        <v>245</v>
      </c>
      <c r="D244" s="30" t="s">
        <v>245</v>
      </c>
      <c r="E244" s="30" t="s">
        <v>245</v>
      </c>
      <c r="F244" s="30" t="s">
        <v>2157</v>
      </c>
      <c r="G244" s="30" t="s">
        <v>245</v>
      </c>
      <c r="H244" s="30" t="s">
        <v>245</v>
      </c>
      <c r="I244" s="30" t="s">
        <v>2821</v>
      </c>
      <c r="K244" s="30" t="s">
        <v>2158</v>
      </c>
      <c r="L244" s="30" t="s">
        <v>1288</v>
      </c>
      <c r="M244" s="30" t="s">
        <v>245</v>
      </c>
      <c r="N244" s="30" t="s">
        <v>245</v>
      </c>
      <c r="O244" s="30" t="s">
        <v>245</v>
      </c>
      <c r="P244" s="30" t="s">
        <v>245</v>
      </c>
      <c r="Q244" s="30" t="s">
        <v>245</v>
      </c>
      <c r="R244" s="30" t="s">
        <v>245</v>
      </c>
      <c r="S244" s="30" t="s">
        <v>245</v>
      </c>
      <c r="T244" s="30" t="s">
        <v>245</v>
      </c>
      <c r="U244" s="30" t="s">
        <v>245</v>
      </c>
      <c r="V244" s="30" t="s">
        <v>245</v>
      </c>
      <c r="W244" s="30" t="s">
        <v>245</v>
      </c>
      <c r="X244" s="30" t="s">
        <v>245</v>
      </c>
      <c r="Y244" s="30" t="s">
        <v>245</v>
      </c>
      <c r="Z244" s="30" t="s">
        <v>245</v>
      </c>
      <c r="AA244" s="30" t="s">
        <v>245</v>
      </c>
      <c r="AB244" s="30" t="s">
        <v>245</v>
      </c>
      <c r="AC244" s="30" t="s">
        <v>2159</v>
      </c>
      <c r="AD244" s="30" t="s">
        <v>2160</v>
      </c>
      <c r="AE244" s="30" t="s">
        <v>245</v>
      </c>
      <c r="AF244" s="30" t="s">
        <v>245</v>
      </c>
      <c r="AG244" s="30" t="s">
        <v>245</v>
      </c>
      <c r="AH244" s="30" t="s">
        <v>245</v>
      </c>
      <c r="AI244" s="30" t="s">
        <v>245</v>
      </c>
      <c r="AJ244" s="30" t="s">
        <v>245</v>
      </c>
      <c r="AK244" s="30" t="s">
        <v>245</v>
      </c>
      <c r="AL244" s="30" t="s">
        <v>245</v>
      </c>
      <c r="AM244" s="30" t="s">
        <v>245</v>
      </c>
      <c r="AN244" s="30" t="s">
        <v>245</v>
      </c>
      <c r="AO244" s="30" t="s">
        <v>245</v>
      </c>
      <c r="AP244" s="30" t="s">
        <v>245</v>
      </c>
      <c r="AQ244" s="30" t="s">
        <v>1291</v>
      </c>
      <c r="AR244" s="30" t="s">
        <v>1292</v>
      </c>
      <c r="AS244" s="30" t="s">
        <v>245</v>
      </c>
      <c r="AT244" s="30" t="s">
        <v>245</v>
      </c>
      <c r="AU244" s="30" t="s">
        <v>245</v>
      </c>
      <c r="AV244" s="30" t="s">
        <v>487</v>
      </c>
      <c r="AW244" s="30">
        <v>2022</v>
      </c>
      <c r="AX244" s="30">
        <v>158</v>
      </c>
      <c r="AY244" s="30" t="s">
        <v>245</v>
      </c>
      <c r="AZ244" s="30" t="s">
        <v>245</v>
      </c>
      <c r="BA244" s="30" t="s">
        <v>245</v>
      </c>
      <c r="BB244" s="30" t="s">
        <v>245</v>
      </c>
      <c r="BC244" s="30" t="s">
        <v>245</v>
      </c>
      <c r="BD244" s="30" t="s">
        <v>245</v>
      </c>
      <c r="BE244" s="30" t="s">
        <v>245</v>
      </c>
      <c r="BF244" s="30">
        <v>106342</v>
      </c>
      <c r="BG244" s="30" t="s">
        <v>2161</v>
      </c>
      <c r="BH244" s="30" t="str">
        <f>HYPERLINK("http://dx.doi.org/10.1016/j.biombioe.2022.106342","http://dx.doi.org/10.1016/j.biombioe.2022.106342")</f>
        <v>http://dx.doi.org/10.1016/j.biombioe.2022.106342</v>
      </c>
      <c r="BI244" s="30" t="s">
        <v>245</v>
      </c>
      <c r="BJ244" s="30" t="s">
        <v>1314</v>
      </c>
      <c r="BK244" s="30" t="s">
        <v>245</v>
      </c>
      <c r="BL244" s="30" t="s">
        <v>245</v>
      </c>
      <c r="BM244" s="30" t="s">
        <v>245</v>
      </c>
      <c r="BN244" s="30" t="s">
        <v>245</v>
      </c>
      <c r="BO244" s="30" t="s">
        <v>245</v>
      </c>
      <c r="BP244" s="30" t="s">
        <v>245</v>
      </c>
      <c r="BQ244" s="30" t="s">
        <v>245</v>
      </c>
      <c r="BR244" s="30" t="s">
        <v>245</v>
      </c>
      <c r="BS244" s="30" t="s">
        <v>245</v>
      </c>
      <c r="BT244" s="30" t="s">
        <v>245</v>
      </c>
      <c r="BU244" s="30" t="s">
        <v>2162</v>
      </c>
      <c r="BV244" s="30" t="str">
        <f>HYPERLINK("https%3A%2F%2Fwww.webofscience.com%2Fwos%2Fwoscc%2Ffull-record%2FWOS:000788727500002","View Full Record in Web of Science")</f>
        <v>View Full Record in Web of Science</v>
      </c>
    </row>
    <row r="245" spans="1:74" x14ac:dyDescent="0.2">
      <c r="A245" s="30" t="s">
        <v>243</v>
      </c>
      <c r="B245" s="30" t="s">
        <v>2163</v>
      </c>
      <c r="C245" s="30" t="s">
        <v>245</v>
      </c>
      <c r="D245" s="30" t="s">
        <v>245</v>
      </c>
      <c r="E245" s="30" t="s">
        <v>245</v>
      </c>
      <c r="F245" s="30" t="s">
        <v>2164</v>
      </c>
      <c r="G245" s="30" t="s">
        <v>245</v>
      </c>
      <c r="H245" s="30" t="s">
        <v>245</v>
      </c>
      <c r="I245" s="30" t="s">
        <v>2821</v>
      </c>
      <c r="K245" s="30" t="s">
        <v>2165</v>
      </c>
      <c r="L245" s="30" t="s">
        <v>282</v>
      </c>
      <c r="M245" s="30" t="s">
        <v>245</v>
      </c>
      <c r="N245" s="30" t="s">
        <v>245</v>
      </c>
      <c r="O245" s="30" t="s">
        <v>245</v>
      </c>
      <c r="P245" s="30" t="s">
        <v>245</v>
      </c>
      <c r="Q245" s="30" t="s">
        <v>245</v>
      </c>
      <c r="R245" s="30" t="s">
        <v>245</v>
      </c>
      <c r="S245" s="30" t="s">
        <v>245</v>
      </c>
      <c r="T245" s="30" t="s">
        <v>245</v>
      </c>
      <c r="U245" s="30" t="s">
        <v>245</v>
      </c>
      <c r="V245" s="30" t="s">
        <v>245</v>
      </c>
      <c r="W245" s="30" t="s">
        <v>245</v>
      </c>
      <c r="X245" s="30" t="s">
        <v>245</v>
      </c>
      <c r="Y245" s="30" t="s">
        <v>245</v>
      </c>
      <c r="Z245" s="30" t="s">
        <v>245</v>
      </c>
      <c r="AA245" s="30" t="s">
        <v>245</v>
      </c>
      <c r="AB245" s="30" t="s">
        <v>245</v>
      </c>
      <c r="AC245" s="30" t="s">
        <v>2166</v>
      </c>
      <c r="AD245" s="30" t="s">
        <v>245</v>
      </c>
      <c r="AE245" s="30" t="s">
        <v>245</v>
      </c>
      <c r="AF245" s="30" t="s">
        <v>245</v>
      </c>
      <c r="AG245" s="30" t="s">
        <v>245</v>
      </c>
      <c r="AH245" s="30" t="s">
        <v>245</v>
      </c>
      <c r="AI245" s="30" t="s">
        <v>245</v>
      </c>
      <c r="AJ245" s="30" t="s">
        <v>245</v>
      </c>
      <c r="AK245" s="30" t="s">
        <v>245</v>
      </c>
      <c r="AL245" s="30" t="s">
        <v>245</v>
      </c>
      <c r="AM245" s="30" t="s">
        <v>245</v>
      </c>
      <c r="AN245" s="30" t="s">
        <v>245</v>
      </c>
      <c r="AO245" s="30" t="s">
        <v>245</v>
      </c>
      <c r="AP245" s="30" t="s">
        <v>245</v>
      </c>
      <c r="AQ245" s="30" t="s">
        <v>285</v>
      </c>
      <c r="AR245" s="30" t="s">
        <v>245</v>
      </c>
      <c r="AS245" s="30" t="s">
        <v>245</v>
      </c>
      <c r="AT245" s="30" t="s">
        <v>245</v>
      </c>
      <c r="AU245" s="30" t="s">
        <v>245</v>
      </c>
      <c r="AV245" s="30" t="s">
        <v>535</v>
      </c>
      <c r="AW245" s="30">
        <v>2009</v>
      </c>
      <c r="AX245" s="30">
        <v>41</v>
      </c>
      <c r="AY245" s="30">
        <v>8</v>
      </c>
      <c r="AZ245" s="30" t="s">
        <v>245</v>
      </c>
      <c r="BA245" s="30" t="s">
        <v>245</v>
      </c>
      <c r="BB245" s="30" t="s">
        <v>245</v>
      </c>
      <c r="BC245" s="30" t="s">
        <v>245</v>
      </c>
      <c r="BD245" s="30">
        <v>1726</v>
      </c>
      <c r="BE245" s="30">
        <v>1733</v>
      </c>
      <c r="BF245" s="30" t="s">
        <v>245</v>
      </c>
      <c r="BG245" s="30" t="s">
        <v>2167</v>
      </c>
      <c r="BH245" s="30" t="str">
        <f>HYPERLINK("http://dx.doi.org/10.1016/j.soilbio.2009.06.001","http://dx.doi.org/10.1016/j.soilbio.2009.06.001")</f>
        <v>http://dx.doi.org/10.1016/j.soilbio.2009.06.001</v>
      </c>
      <c r="BI245" s="30" t="s">
        <v>245</v>
      </c>
      <c r="BJ245" s="30" t="s">
        <v>245</v>
      </c>
      <c r="BK245" s="30" t="s">
        <v>245</v>
      </c>
      <c r="BL245" s="30" t="s">
        <v>245</v>
      </c>
      <c r="BM245" s="30" t="s">
        <v>245</v>
      </c>
      <c r="BN245" s="30" t="s">
        <v>245</v>
      </c>
      <c r="BO245" s="30" t="s">
        <v>245</v>
      </c>
      <c r="BP245" s="30" t="s">
        <v>245</v>
      </c>
      <c r="BQ245" s="30" t="s">
        <v>245</v>
      </c>
      <c r="BR245" s="30" t="s">
        <v>245</v>
      </c>
      <c r="BS245" s="30" t="s">
        <v>245</v>
      </c>
      <c r="BT245" s="30" t="s">
        <v>245</v>
      </c>
      <c r="BU245" s="30" t="s">
        <v>2168</v>
      </c>
      <c r="BV245" s="30" t="str">
        <f>HYPERLINK("https%3A%2F%2Fwww.webofscience.com%2Fwos%2Fwoscc%2Ffull-record%2FWOS:000268920400018","View Full Record in Web of Science")</f>
        <v>View Full Record in Web of Science</v>
      </c>
    </row>
    <row r="246" spans="1:74" x14ac:dyDescent="0.2">
      <c r="A246" s="30" t="s">
        <v>243</v>
      </c>
      <c r="B246" s="30" t="s">
        <v>2169</v>
      </c>
      <c r="C246" s="30" t="s">
        <v>245</v>
      </c>
      <c r="D246" s="30" t="s">
        <v>245</v>
      </c>
      <c r="E246" s="30" t="s">
        <v>245</v>
      </c>
      <c r="F246" s="30" t="s">
        <v>2170</v>
      </c>
      <c r="G246" s="30" t="s">
        <v>245</v>
      </c>
      <c r="H246" s="30" t="s">
        <v>245</v>
      </c>
      <c r="I246" s="30" t="s">
        <v>2826</v>
      </c>
      <c r="K246" s="30" t="s">
        <v>2171</v>
      </c>
      <c r="L246" s="30" t="s">
        <v>2172</v>
      </c>
      <c r="M246" s="30" t="s">
        <v>245</v>
      </c>
      <c r="N246" s="30" t="s">
        <v>245</v>
      </c>
      <c r="O246" s="30" t="s">
        <v>245</v>
      </c>
      <c r="P246" s="30" t="s">
        <v>245</v>
      </c>
      <c r="Q246" s="30" t="s">
        <v>245</v>
      </c>
      <c r="R246" s="30" t="s">
        <v>245</v>
      </c>
      <c r="S246" s="30" t="s">
        <v>245</v>
      </c>
      <c r="T246" s="30" t="s">
        <v>245</v>
      </c>
      <c r="U246" s="30" t="s">
        <v>245</v>
      </c>
      <c r="V246" s="30" t="s">
        <v>245</v>
      </c>
      <c r="W246" s="30" t="s">
        <v>245</v>
      </c>
      <c r="X246" s="30" t="s">
        <v>245</v>
      </c>
      <c r="Y246" s="30" t="s">
        <v>245</v>
      </c>
      <c r="Z246" s="30" t="s">
        <v>245</v>
      </c>
      <c r="AA246" s="30" t="s">
        <v>245</v>
      </c>
      <c r="AB246" s="30" t="s">
        <v>245</v>
      </c>
      <c r="AC246" s="30" t="s">
        <v>2173</v>
      </c>
      <c r="AD246" s="30" t="s">
        <v>2174</v>
      </c>
      <c r="AE246" s="30" t="s">
        <v>245</v>
      </c>
      <c r="AF246" s="30" t="s">
        <v>245</v>
      </c>
      <c r="AG246" s="30" t="s">
        <v>245</v>
      </c>
      <c r="AH246" s="30" t="s">
        <v>245</v>
      </c>
      <c r="AI246" s="30" t="s">
        <v>245</v>
      </c>
      <c r="AJ246" s="30" t="s">
        <v>245</v>
      </c>
      <c r="AK246" s="30" t="s">
        <v>245</v>
      </c>
      <c r="AL246" s="30" t="s">
        <v>245</v>
      </c>
      <c r="AM246" s="30" t="s">
        <v>245</v>
      </c>
      <c r="AN246" s="30" t="s">
        <v>245</v>
      </c>
      <c r="AO246" s="30" t="s">
        <v>245</v>
      </c>
      <c r="AP246" s="30" t="s">
        <v>245</v>
      </c>
      <c r="AQ246" s="30" t="s">
        <v>245</v>
      </c>
      <c r="AR246" s="30" t="s">
        <v>2175</v>
      </c>
      <c r="AS246" s="30" t="s">
        <v>245</v>
      </c>
      <c r="AT246" s="30" t="s">
        <v>245</v>
      </c>
      <c r="AU246" s="30" t="s">
        <v>245</v>
      </c>
      <c r="AV246" s="30" t="s">
        <v>646</v>
      </c>
      <c r="AW246" s="30">
        <v>2021</v>
      </c>
      <c r="AX246" s="30">
        <v>13</v>
      </c>
      <c r="AY246" s="30">
        <v>13</v>
      </c>
      <c r="AZ246" s="30" t="s">
        <v>245</v>
      </c>
      <c r="BA246" s="30" t="s">
        <v>245</v>
      </c>
      <c r="BB246" s="30" t="s">
        <v>245</v>
      </c>
      <c r="BC246" s="30" t="s">
        <v>245</v>
      </c>
      <c r="BD246" s="30" t="s">
        <v>245</v>
      </c>
      <c r="BE246" s="30" t="s">
        <v>245</v>
      </c>
      <c r="BF246" s="30">
        <v>1867</v>
      </c>
      <c r="BG246" s="30" t="s">
        <v>2176</v>
      </c>
      <c r="BH246" s="30" t="str">
        <f>HYPERLINK("http://dx.doi.org/10.3390/w13131867","http://dx.doi.org/10.3390/w13131867")</f>
        <v>http://dx.doi.org/10.3390/w13131867</v>
      </c>
      <c r="BI246" s="30" t="s">
        <v>245</v>
      </c>
      <c r="BJ246" s="30" t="s">
        <v>245</v>
      </c>
      <c r="BK246" s="30" t="s">
        <v>245</v>
      </c>
      <c r="BL246" s="30" t="s">
        <v>245</v>
      </c>
      <c r="BM246" s="30" t="s">
        <v>245</v>
      </c>
      <c r="BN246" s="30" t="s">
        <v>245</v>
      </c>
      <c r="BO246" s="30" t="s">
        <v>245</v>
      </c>
      <c r="BP246" s="30" t="s">
        <v>245</v>
      </c>
      <c r="BQ246" s="30" t="s">
        <v>245</v>
      </c>
      <c r="BR246" s="30" t="s">
        <v>245</v>
      </c>
      <c r="BS246" s="30" t="s">
        <v>245</v>
      </c>
      <c r="BT246" s="30" t="s">
        <v>245</v>
      </c>
      <c r="BU246" s="30" t="s">
        <v>2177</v>
      </c>
      <c r="BV246" s="30" t="str">
        <f>HYPERLINK("https%3A%2F%2Fwww.webofscience.com%2Fwos%2Fwoscc%2Ffull-record%2FWOS:000671244000001","View Full Record in Web of Science")</f>
        <v>View Full Record in Web of Science</v>
      </c>
    </row>
    <row r="247" spans="1:74" x14ac:dyDescent="0.2">
      <c r="A247" s="30" t="s">
        <v>243</v>
      </c>
      <c r="B247" s="30" t="s">
        <v>2178</v>
      </c>
      <c r="C247" s="30" t="s">
        <v>245</v>
      </c>
      <c r="D247" s="30" t="s">
        <v>245</v>
      </c>
      <c r="E247" s="30" t="s">
        <v>245</v>
      </c>
      <c r="F247" s="30" t="s">
        <v>2179</v>
      </c>
      <c r="G247" s="30" t="s">
        <v>245</v>
      </c>
      <c r="H247" s="30" t="s">
        <v>245</v>
      </c>
      <c r="I247" s="33" t="s">
        <v>2835</v>
      </c>
      <c r="K247" s="30" t="s">
        <v>2180</v>
      </c>
      <c r="L247" s="30" t="s">
        <v>541</v>
      </c>
      <c r="M247" s="30" t="s">
        <v>245</v>
      </c>
      <c r="N247" s="30" t="s">
        <v>245</v>
      </c>
      <c r="O247" s="30" t="s">
        <v>245</v>
      </c>
      <c r="P247" s="30" t="s">
        <v>245</v>
      </c>
      <c r="Q247" s="30" t="s">
        <v>245</v>
      </c>
      <c r="R247" s="30" t="s">
        <v>245</v>
      </c>
      <c r="S247" s="30" t="s">
        <v>245</v>
      </c>
      <c r="T247" s="30" t="s">
        <v>245</v>
      </c>
      <c r="U247" s="30" t="s">
        <v>245</v>
      </c>
      <c r="V247" s="30" t="s">
        <v>245</v>
      </c>
      <c r="W247" s="30" t="s">
        <v>245</v>
      </c>
      <c r="X247" s="30" t="s">
        <v>245</v>
      </c>
      <c r="Y247" s="30" t="s">
        <v>245</v>
      </c>
      <c r="Z247" s="30" t="s">
        <v>245</v>
      </c>
      <c r="AA247" s="30" t="s">
        <v>245</v>
      </c>
      <c r="AB247" s="30" t="s">
        <v>245</v>
      </c>
      <c r="AC247" s="30" t="s">
        <v>2181</v>
      </c>
      <c r="AD247" s="30" t="s">
        <v>2182</v>
      </c>
      <c r="AE247" s="30" t="s">
        <v>245</v>
      </c>
      <c r="AF247" s="30" t="s">
        <v>245</v>
      </c>
      <c r="AG247" s="30" t="s">
        <v>245</v>
      </c>
      <c r="AH247" s="30" t="s">
        <v>245</v>
      </c>
      <c r="AI247" s="30" t="s">
        <v>245</v>
      </c>
      <c r="AJ247" s="30" t="s">
        <v>245</v>
      </c>
      <c r="AK247" s="30" t="s">
        <v>245</v>
      </c>
      <c r="AL247" s="30" t="s">
        <v>245</v>
      </c>
      <c r="AM247" s="30" t="s">
        <v>245</v>
      </c>
      <c r="AN247" s="30" t="s">
        <v>245</v>
      </c>
      <c r="AO247" s="30" t="s">
        <v>245</v>
      </c>
      <c r="AP247" s="30" t="s">
        <v>245</v>
      </c>
      <c r="AQ247" s="30" t="s">
        <v>544</v>
      </c>
      <c r="AR247" s="30" t="s">
        <v>545</v>
      </c>
      <c r="AS247" s="30" t="s">
        <v>245</v>
      </c>
      <c r="AT247" s="30" t="s">
        <v>245</v>
      </c>
      <c r="AU247" s="30" t="s">
        <v>245</v>
      </c>
      <c r="AV247" s="30" t="s">
        <v>2183</v>
      </c>
      <c r="AW247" s="30">
        <v>2018</v>
      </c>
      <c r="AX247" s="30">
        <v>259</v>
      </c>
      <c r="AY247" s="30" t="s">
        <v>245</v>
      </c>
      <c r="AZ247" s="30" t="s">
        <v>245</v>
      </c>
      <c r="BA247" s="30" t="s">
        <v>245</v>
      </c>
      <c r="BB247" s="30" t="s">
        <v>245</v>
      </c>
      <c r="BC247" s="30" t="s">
        <v>245</v>
      </c>
      <c r="BD247" s="30">
        <v>86</v>
      </c>
      <c r="BE247" s="30">
        <v>97</v>
      </c>
      <c r="BF247" s="30" t="s">
        <v>245</v>
      </c>
      <c r="BG247" s="30" t="s">
        <v>2184</v>
      </c>
      <c r="BH247" s="30" t="str">
        <f>HYPERLINK("http://dx.doi.org/10.1016/j.agee.2018.02.028","http://dx.doi.org/10.1016/j.agee.2018.02.028")</f>
        <v>http://dx.doi.org/10.1016/j.agee.2018.02.028</v>
      </c>
      <c r="BI247" s="30" t="s">
        <v>245</v>
      </c>
      <c r="BJ247" s="30" t="s">
        <v>245</v>
      </c>
      <c r="BK247" s="30" t="s">
        <v>245</v>
      </c>
      <c r="BL247" s="30" t="s">
        <v>245</v>
      </c>
      <c r="BM247" s="30" t="s">
        <v>245</v>
      </c>
      <c r="BN247" s="30" t="s">
        <v>245</v>
      </c>
      <c r="BO247" s="30" t="s">
        <v>245</v>
      </c>
      <c r="BP247" s="30" t="s">
        <v>245</v>
      </c>
      <c r="BQ247" s="30" t="s">
        <v>245</v>
      </c>
      <c r="BR247" s="30" t="s">
        <v>245</v>
      </c>
      <c r="BS247" s="30" t="s">
        <v>245</v>
      </c>
      <c r="BT247" s="30" t="s">
        <v>245</v>
      </c>
      <c r="BU247" s="30" t="s">
        <v>2185</v>
      </c>
      <c r="BV247" s="30" t="str">
        <f>HYPERLINK("https%3A%2F%2Fwww.webofscience.com%2Fwos%2Fwoscc%2Ffull-record%2FWOS:000431936200010","View Full Record in Web of Science")</f>
        <v>View Full Record in Web of Science</v>
      </c>
    </row>
    <row r="248" spans="1:74" x14ac:dyDescent="0.2">
      <c r="A248" s="30" t="s">
        <v>243</v>
      </c>
      <c r="B248" s="30" t="s">
        <v>2186</v>
      </c>
      <c r="C248" s="30" t="s">
        <v>245</v>
      </c>
      <c r="D248" s="30" t="s">
        <v>245</v>
      </c>
      <c r="E248" s="30" t="s">
        <v>245</v>
      </c>
      <c r="F248" s="30" t="s">
        <v>2187</v>
      </c>
      <c r="G248" s="30" t="s">
        <v>245</v>
      </c>
      <c r="H248" s="30" t="s">
        <v>245</v>
      </c>
      <c r="I248" s="30" t="s">
        <v>2821</v>
      </c>
      <c r="K248" s="30" t="s">
        <v>2188</v>
      </c>
      <c r="L248" s="30" t="s">
        <v>1343</v>
      </c>
      <c r="M248" s="30" t="s">
        <v>245</v>
      </c>
      <c r="N248" s="30" t="s">
        <v>245</v>
      </c>
      <c r="O248" s="30" t="s">
        <v>245</v>
      </c>
      <c r="P248" s="30" t="s">
        <v>245</v>
      </c>
      <c r="Q248" s="30" t="s">
        <v>245</v>
      </c>
      <c r="R248" s="30" t="s">
        <v>245</v>
      </c>
      <c r="S248" s="30" t="s">
        <v>245</v>
      </c>
      <c r="T248" s="30" t="s">
        <v>245</v>
      </c>
      <c r="U248" s="30" t="s">
        <v>245</v>
      </c>
      <c r="V248" s="30" t="s">
        <v>245</v>
      </c>
      <c r="W248" s="30" t="s">
        <v>245</v>
      </c>
      <c r="X248" s="30" t="s">
        <v>245</v>
      </c>
      <c r="Y248" s="30" t="s">
        <v>245</v>
      </c>
      <c r="Z248" s="30" t="s">
        <v>245</v>
      </c>
      <c r="AA248" s="30" t="s">
        <v>245</v>
      </c>
      <c r="AB248" s="30" t="s">
        <v>245</v>
      </c>
      <c r="AC248" s="30" t="s">
        <v>2189</v>
      </c>
      <c r="AD248" s="30" t="s">
        <v>2190</v>
      </c>
      <c r="AE248" s="30" t="s">
        <v>245</v>
      </c>
      <c r="AF248" s="30" t="s">
        <v>245</v>
      </c>
      <c r="AG248" s="30" t="s">
        <v>245</v>
      </c>
      <c r="AH248" s="30" t="s">
        <v>245</v>
      </c>
      <c r="AI248" s="30" t="s">
        <v>245</v>
      </c>
      <c r="AJ248" s="30" t="s">
        <v>245</v>
      </c>
      <c r="AK248" s="30" t="s">
        <v>245</v>
      </c>
      <c r="AL248" s="30" t="s">
        <v>245</v>
      </c>
      <c r="AM248" s="30" t="s">
        <v>245</v>
      </c>
      <c r="AN248" s="30" t="s">
        <v>245</v>
      </c>
      <c r="AO248" s="30" t="s">
        <v>245</v>
      </c>
      <c r="AP248" s="30" t="s">
        <v>245</v>
      </c>
      <c r="AQ248" s="30" t="s">
        <v>245</v>
      </c>
      <c r="AR248" s="30" t="s">
        <v>1346</v>
      </c>
      <c r="AS248" s="30" t="s">
        <v>245</v>
      </c>
      <c r="AT248" s="30" t="s">
        <v>245</v>
      </c>
      <c r="AU248" s="30" t="s">
        <v>245</v>
      </c>
      <c r="AV248" s="30" t="s">
        <v>286</v>
      </c>
      <c r="AW248" s="30">
        <v>2022</v>
      </c>
      <c r="AX248" s="30">
        <v>12</v>
      </c>
      <c r="AY248" s="30">
        <v>1</v>
      </c>
      <c r="AZ248" s="30" t="s">
        <v>245</v>
      </c>
      <c r="BA248" s="30" t="s">
        <v>245</v>
      </c>
      <c r="BB248" s="30" t="s">
        <v>245</v>
      </c>
      <c r="BC248" s="30" t="s">
        <v>245</v>
      </c>
      <c r="BD248" s="30" t="s">
        <v>245</v>
      </c>
      <c r="BE248" s="30" t="s">
        <v>245</v>
      </c>
      <c r="BF248" s="30">
        <v>341</v>
      </c>
      <c r="BG248" s="30" t="s">
        <v>2191</v>
      </c>
      <c r="BH248" s="30" t="str">
        <f>HYPERLINK("http://dx.doi.org/10.3390/app12010341","http://dx.doi.org/10.3390/app12010341")</f>
        <v>http://dx.doi.org/10.3390/app12010341</v>
      </c>
      <c r="BI248" s="30" t="s">
        <v>245</v>
      </c>
      <c r="BJ248" s="30" t="s">
        <v>245</v>
      </c>
      <c r="BK248" s="30" t="s">
        <v>245</v>
      </c>
      <c r="BL248" s="30" t="s">
        <v>245</v>
      </c>
      <c r="BM248" s="30" t="s">
        <v>245</v>
      </c>
      <c r="BN248" s="30" t="s">
        <v>245</v>
      </c>
      <c r="BO248" s="30" t="s">
        <v>245</v>
      </c>
      <c r="BP248" s="30" t="s">
        <v>245</v>
      </c>
      <c r="BQ248" s="30" t="s">
        <v>245</v>
      </c>
      <c r="BR248" s="30" t="s">
        <v>245</v>
      </c>
      <c r="BS248" s="30" t="s">
        <v>245</v>
      </c>
      <c r="BT248" s="30" t="s">
        <v>245</v>
      </c>
      <c r="BU248" s="30" t="s">
        <v>2192</v>
      </c>
      <c r="BV248" s="30" t="str">
        <f>HYPERLINK("https%3A%2F%2Fwww.webofscience.com%2Fwos%2Fwoscc%2Ffull-record%2FWOS:000751151600001","View Full Record in Web of Science")</f>
        <v>View Full Record in Web of Science</v>
      </c>
    </row>
    <row r="249" spans="1:74" x14ac:dyDescent="0.2">
      <c r="A249" s="30" t="s">
        <v>243</v>
      </c>
      <c r="B249" s="30" t="s">
        <v>2193</v>
      </c>
      <c r="C249" s="30" t="s">
        <v>245</v>
      </c>
      <c r="D249" s="30" t="s">
        <v>245</v>
      </c>
      <c r="E249" s="30" t="s">
        <v>245</v>
      </c>
      <c r="F249" s="30" t="s">
        <v>2194</v>
      </c>
      <c r="G249" s="30" t="s">
        <v>245</v>
      </c>
      <c r="H249" s="30" t="s">
        <v>245</v>
      </c>
      <c r="I249" s="30" t="s">
        <v>2826</v>
      </c>
      <c r="K249" s="30" t="s">
        <v>2195</v>
      </c>
      <c r="L249" s="30" t="s">
        <v>469</v>
      </c>
      <c r="M249" s="30" t="s">
        <v>245</v>
      </c>
      <c r="N249" s="30" t="s">
        <v>245</v>
      </c>
      <c r="O249" s="30" t="s">
        <v>245</v>
      </c>
      <c r="P249" s="30" t="s">
        <v>245</v>
      </c>
      <c r="Q249" s="30" t="s">
        <v>245</v>
      </c>
      <c r="R249" s="30" t="s">
        <v>245</v>
      </c>
      <c r="S249" s="30" t="s">
        <v>245</v>
      </c>
      <c r="T249" s="30" t="s">
        <v>245</v>
      </c>
      <c r="U249" s="30" t="s">
        <v>245</v>
      </c>
      <c r="V249" s="30" t="s">
        <v>245</v>
      </c>
      <c r="W249" s="30" t="s">
        <v>245</v>
      </c>
      <c r="X249" s="30" t="s">
        <v>245</v>
      </c>
      <c r="Y249" s="30" t="s">
        <v>245</v>
      </c>
      <c r="Z249" s="30" t="s">
        <v>245</v>
      </c>
      <c r="AA249" s="30" t="s">
        <v>245</v>
      </c>
      <c r="AB249" s="30" t="s">
        <v>245</v>
      </c>
      <c r="AC249" s="30" t="s">
        <v>2196</v>
      </c>
      <c r="AD249" s="30" t="s">
        <v>2197</v>
      </c>
      <c r="AE249" s="30" t="s">
        <v>245</v>
      </c>
      <c r="AF249" s="30" t="s">
        <v>245</v>
      </c>
      <c r="AG249" s="30" t="s">
        <v>245</v>
      </c>
      <c r="AH249" s="30" t="s">
        <v>245</v>
      </c>
      <c r="AI249" s="30" t="s">
        <v>245</v>
      </c>
      <c r="AJ249" s="30" t="s">
        <v>245</v>
      </c>
      <c r="AK249" s="30" t="s">
        <v>245</v>
      </c>
      <c r="AL249" s="30" t="s">
        <v>245</v>
      </c>
      <c r="AM249" s="30" t="s">
        <v>245</v>
      </c>
      <c r="AN249" s="30" t="s">
        <v>245</v>
      </c>
      <c r="AO249" s="30" t="s">
        <v>245</v>
      </c>
      <c r="AP249" s="30" t="s">
        <v>245</v>
      </c>
      <c r="AQ249" s="30" t="s">
        <v>472</v>
      </c>
      <c r="AR249" s="30" t="s">
        <v>473</v>
      </c>
      <c r="AS249" s="30" t="s">
        <v>245</v>
      </c>
      <c r="AT249" s="30" t="s">
        <v>245</v>
      </c>
      <c r="AU249" s="30" t="s">
        <v>245</v>
      </c>
      <c r="AV249" s="30" t="s">
        <v>474</v>
      </c>
      <c r="AW249" s="30">
        <v>2019</v>
      </c>
      <c r="AX249" s="30">
        <v>337</v>
      </c>
      <c r="AY249" s="30" t="s">
        <v>245</v>
      </c>
      <c r="AZ249" s="30" t="s">
        <v>245</v>
      </c>
      <c r="BA249" s="30" t="s">
        <v>245</v>
      </c>
      <c r="BB249" s="30" t="s">
        <v>245</v>
      </c>
      <c r="BC249" s="30" t="s">
        <v>245</v>
      </c>
      <c r="BD249" s="30">
        <v>132</v>
      </c>
      <c r="BE249" s="30">
        <v>142</v>
      </c>
      <c r="BF249" s="30" t="s">
        <v>245</v>
      </c>
      <c r="BG249" s="30" t="s">
        <v>2198</v>
      </c>
      <c r="BH249" s="30" t="str">
        <f>HYPERLINK("http://dx.doi.org/10.1016/j.geoderma.2018.09.019","http://dx.doi.org/10.1016/j.geoderma.2018.09.019")</f>
        <v>http://dx.doi.org/10.1016/j.geoderma.2018.09.019</v>
      </c>
      <c r="BI249" s="30" t="s">
        <v>245</v>
      </c>
      <c r="BJ249" s="30" t="s">
        <v>245</v>
      </c>
      <c r="BK249" s="30" t="s">
        <v>245</v>
      </c>
      <c r="BL249" s="30" t="s">
        <v>245</v>
      </c>
      <c r="BM249" s="30" t="s">
        <v>245</v>
      </c>
      <c r="BN249" s="30" t="s">
        <v>245</v>
      </c>
      <c r="BO249" s="30" t="s">
        <v>245</v>
      </c>
      <c r="BP249" s="30" t="s">
        <v>245</v>
      </c>
      <c r="BQ249" s="30" t="s">
        <v>245</v>
      </c>
      <c r="BR249" s="30" t="s">
        <v>245</v>
      </c>
      <c r="BS249" s="30" t="s">
        <v>245</v>
      </c>
      <c r="BT249" s="30" t="s">
        <v>245</v>
      </c>
      <c r="BU249" s="30" t="s">
        <v>2199</v>
      </c>
      <c r="BV249" s="30" t="str">
        <f>HYPERLINK("https%3A%2F%2Fwww.webofscience.com%2Fwos%2Fwoscc%2Ffull-record%2FWOS:000456761500014","View Full Record in Web of Science")</f>
        <v>View Full Record in Web of Science</v>
      </c>
    </row>
    <row r="250" spans="1:74" x14ac:dyDescent="0.2">
      <c r="A250" s="30" t="s">
        <v>243</v>
      </c>
      <c r="B250" s="30" t="s">
        <v>2200</v>
      </c>
      <c r="C250" s="30" t="s">
        <v>245</v>
      </c>
      <c r="D250" s="30" t="s">
        <v>245</v>
      </c>
      <c r="E250" s="30" t="s">
        <v>245</v>
      </c>
      <c r="F250" s="30" t="s">
        <v>2200</v>
      </c>
      <c r="G250" s="30" t="s">
        <v>245</v>
      </c>
      <c r="H250" s="30" t="s">
        <v>245</v>
      </c>
      <c r="I250" s="30" t="s">
        <v>2823</v>
      </c>
      <c r="K250" s="30" t="s">
        <v>2201</v>
      </c>
      <c r="L250" s="30" t="s">
        <v>336</v>
      </c>
      <c r="M250" s="30" t="s">
        <v>245</v>
      </c>
      <c r="N250" s="30" t="s">
        <v>245</v>
      </c>
      <c r="O250" s="30" t="s">
        <v>245</v>
      </c>
      <c r="P250" s="30" t="s">
        <v>245</v>
      </c>
      <c r="Q250" s="30" t="s">
        <v>245</v>
      </c>
      <c r="R250" s="30" t="s">
        <v>245</v>
      </c>
      <c r="S250" s="30" t="s">
        <v>245</v>
      </c>
      <c r="T250" s="30" t="s">
        <v>245</v>
      </c>
      <c r="U250" s="30" t="s">
        <v>245</v>
      </c>
      <c r="V250" s="30" t="s">
        <v>245</v>
      </c>
      <c r="W250" s="30" t="s">
        <v>245</v>
      </c>
      <c r="X250" s="30" t="s">
        <v>245</v>
      </c>
      <c r="Y250" s="30" t="s">
        <v>245</v>
      </c>
      <c r="Z250" s="30" t="s">
        <v>245</v>
      </c>
      <c r="AA250" s="30" t="s">
        <v>245</v>
      </c>
      <c r="AB250" s="30" t="s">
        <v>245</v>
      </c>
      <c r="AC250" s="30" t="s">
        <v>2202</v>
      </c>
      <c r="AD250" s="30" t="s">
        <v>2203</v>
      </c>
      <c r="AE250" s="30" t="s">
        <v>245</v>
      </c>
      <c r="AF250" s="30" t="s">
        <v>245</v>
      </c>
      <c r="AG250" s="30" t="s">
        <v>245</v>
      </c>
      <c r="AH250" s="30" t="s">
        <v>245</v>
      </c>
      <c r="AI250" s="30" t="s">
        <v>245</v>
      </c>
      <c r="AJ250" s="30" t="s">
        <v>245</v>
      </c>
      <c r="AK250" s="30" t="s">
        <v>245</v>
      </c>
      <c r="AL250" s="30" t="s">
        <v>245</v>
      </c>
      <c r="AM250" s="30" t="s">
        <v>245</v>
      </c>
      <c r="AN250" s="30" t="s">
        <v>245</v>
      </c>
      <c r="AO250" s="30" t="s">
        <v>245</v>
      </c>
      <c r="AP250" s="30" t="s">
        <v>245</v>
      </c>
      <c r="AQ250" s="30" t="s">
        <v>343</v>
      </c>
      <c r="AR250" s="30" t="s">
        <v>245</v>
      </c>
      <c r="AS250" s="30" t="s">
        <v>245</v>
      </c>
      <c r="AT250" s="30" t="s">
        <v>245</v>
      </c>
      <c r="AU250" s="30" t="s">
        <v>245</v>
      </c>
      <c r="AV250" s="30" t="s">
        <v>550</v>
      </c>
      <c r="AW250" s="30">
        <v>2000</v>
      </c>
      <c r="AX250" s="30">
        <v>58</v>
      </c>
      <c r="AY250" s="30" t="s">
        <v>345</v>
      </c>
      <c r="AZ250" s="30" t="s">
        <v>245</v>
      </c>
      <c r="BA250" s="30" t="s">
        <v>245</v>
      </c>
      <c r="BB250" s="30" t="s">
        <v>245</v>
      </c>
      <c r="BC250" s="30" t="s">
        <v>245</v>
      </c>
      <c r="BD250" s="30">
        <v>37</v>
      </c>
      <c r="BE250" s="30">
        <v>53</v>
      </c>
      <c r="BF250" s="30" t="s">
        <v>245</v>
      </c>
      <c r="BG250" s="30" t="s">
        <v>2204</v>
      </c>
      <c r="BH250" s="30" t="str">
        <f>HYPERLINK("http://dx.doi.org/10.1023/A:1009826131741","http://dx.doi.org/10.1023/A:1009826131741")</f>
        <v>http://dx.doi.org/10.1023/A:1009826131741</v>
      </c>
      <c r="BI250" s="30" t="s">
        <v>245</v>
      </c>
      <c r="BJ250" s="30" t="s">
        <v>245</v>
      </c>
      <c r="BK250" s="30" t="s">
        <v>245</v>
      </c>
      <c r="BL250" s="30" t="s">
        <v>245</v>
      </c>
      <c r="BM250" s="30" t="s">
        <v>245</v>
      </c>
      <c r="BN250" s="30" t="s">
        <v>245</v>
      </c>
      <c r="BO250" s="30" t="s">
        <v>245</v>
      </c>
      <c r="BP250" s="30" t="s">
        <v>245</v>
      </c>
      <c r="BQ250" s="30" t="s">
        <v>245</v>
      </c>
      <c r="BR250" s="30" t="s">
        <v>245</v>
      </c>
      <c r="BS250" s="30" t="s">
        <v>245</v>
      </c>
      <c r="BT250" s="30" t="s">
        <v>245</v>
      </c>
      <c r="BU250" s="30" t="s">
        <v>2205</v>
      </c>
      <c r="BV250" s="30" t="str">
        <f>HYPERLINK("https%3A%2F%2Fwww.webofscience.com%2Fwos%2Fwoscc%2Ffull-record%2FWOS:000166362400004","View Full Record in Web of Science")</f>
        <v>View Full Record in Web of Science</v>
      </c>
    </row>
    <row r="251" spans="1:74" x14ac:dyDescent="0.2">
      <c r="A251" s="30" t="s">
        <v>243</v>
      </c>
      <c r="B251" s="30" t="s">
        <v>2206</v>
      </c>
      <c r="C251" s="30" t="s">
        <v>245</v>
      </c>
      <c r="D251" s="30" t="s">
        <v>245</v>
      </c>
      <c r="E251" s="30" t="s">
        <v>245</v>
      </c>
      <c r="F251" s="30" t="s">
        <v>2207</v>
      </c>
      <c r="G251" s="30" t="s">
        <v>245</v>
      </c>
      <c r="H251" s="30" t="s">
        <v>245</v>
      </c>
      <c r="I251" s="30" t="s">
        <v>2826</v>
      </c>
      <c r="K251" s="30" t="s">
        <v>2208</v>
      </c>
      <c r="L251" s="30" t="s">
        <v>282</v>
      </c>
      <c r="M251" s="30" t="s">
        <v>245</v>
      </c>
      <c r="N251" s="30" t="s">
        <v>245</v>
      </c>
      <c r="O251" s="30" t="s">
        <v>245</v>
      </c>
      <c r="P251" s="30" t="s">
        <v>245</v>
      </c>
      <c r="Q251" s="30" t="s">
        <v>245</v>
      </c>
      <c r="R251" s="30" t="s">
        <v>245</v>
      </c>
      <c r="S251" s="30" t="s">
        <v>245</v>
      </c>
      <c r="T251" s="30" t="s">
        <v>245</v>
      </c>
      <c r="U251" s="30" t="s">
        <v>245</v>
      </c>
      <c r="V251" s="30" t="s">
        <v>245</v>
      </c>
      <c r="W251" s="30" t="s">
        <v>245</v>
      </c>
      <c r="X251" s="30" t="s">
        <v>245</v>
      </c>
      <c r="Y251" s="30" t="s">
        <v>245</v>
      </c>
      <c r="Z251" s="30" t="s">
        <v>245</v>
      </c>
      <c r="AA251" s="30" t="s">
        <v>245</v>
      </c>
      <c r="AB251" s="30" t="s">
        <v>245</v>
      </c>
      <c r="AC251" s="30" t="s">
        <v>2209</v>
      </c>
      <c r="AD251" s="30" t="s">
        <v>2210</v>
      </c>
      <c r="AE251" s="30" t="s">
        <v>245</v>
      </c>
      <c r="AF251" s="30" t="s">
        <v>245</v>
      </c>
      <c r="AG251" s="30" t="s">
        <v>245</v>
      </c>
      <c r="AH251" s="30" t="s">
        <v>245</v>
      </c>
      <c r="AI251" s="30" t="s">
        <v>245</v>
      </c>
      <c r="AJ251" s="30" t="s">
        <v>245</v>
      </c>
      <c r="AK251" s="30" t="s">
        <v>245</v>
      </c>
      <c r="AL251" s="30" t="s">
        <v>245</v>
      </c>
      <c r="AM251" s="30" t="s">
        <v>245</v>
      </c>
      <c r="AN251" s="30" t="s">
        <v>245</v>
      </c>
      <c r="AO251" s="30" t="s">
        <v>245</v>
      </c>
      <c r="AP251" s="30" t="s">
        <v>245</v>
      </c>
      <c r="AQ251" s="30" t="s">
        <v>285</v>
      </c>
      <c r="AR251" s="30" t="s">
        <v>245</v>
      </c>
      <c r="AS251" s="30" t="s">
        <v>245</v>
      </c>
      <c r="AT251" s="30" t="s">
        <v>245</v>
      </c>
      <c r="AU251" s="30" t="s">
        <v>245</v>
      </c>
      <c r="AV251" s="30" t="s">
        <v>265</v>
      </c>
      <c r="AW251" s="30">
        <v>2011</v>
      </c>
      <c r="AX251" s="30">
        <v>43</v>
      </c>
      <c r="AY251" s="30">
        <v>6</v>
      </c>
      <c r="AZ251" s="30" t="s">
        <v>245</v>
      </c>
      <c r="BA251" s="30" t="s">
        <v>245</v>
      </c>
      <c r="BB251" s="30" t="s">
        <v>245</v>
      </c>
      <c r="BC251" s="30" t="s">
        <v>245</v>
      </c>
      <c r="BD251" s="30">
        <v>1180</v>
      </c>
      <c r="BE251" s="30">
        <v>1185</v>
      </c>
      <c r="BF251" s="30" t="s">
        <v>245</v>
      </c>
      <c r="BG251" s="30" t="s">
        <v>2211</v>
      </c>
      <c r="BH251" s="30" t="str">
        <f>HYPERLINK("http://dx.doi.org/10.1016/j.soilbio.2011.02.006","http://dx.doi.org/10.1016/j.soilbio.2011.02.006")</f>
        <v>http://dx.doi.org/10.1016/j.soilbio.2011.02.006</v>
      </c>
      <c r="BI251" s="30" t="s">
        <v>245</v>
      </c>
      <c r="BJ251" s="30" t="s">
        <v>245</v>
      </c>
      <c r="BK251" s="30" t="s">
        <v>245</v>
      </c>
      <c r="BL251" s="30" t="s">
        <v>245</v>
      </c>
      <c r="BM251" s="30" t="s">
        <v>245</v>
      </c>
      <c r="BN251" s="30" t="s">
        <v>245</v>
      </c>
      <c r="BO251" s="30" t="s">
        <v>245</v>
      </c>
      <c r="BP251" s="30" t="s">
        <v>245</v>
      </c>
      <c r="BQ251" s="30" t="s">
        <v>245</v>
      </c>
      <c r="BR251" s="30" t="s">
        <v>245</v>
      </c>
      <c r="BS251" s="30" t="s">
        <v>245</v>
      </c>
      <c r="BT251" s="30" t="s">
        <v>245</v>
      </c>
      <c r="BU251" s="30" t="s">
        <v>2212</v>
      </c>
      <c r="BV251" s="30" t="str">
        <f>HYPERLINK("https%3A%2F%2Fwww.webofscience.com%2Fwos%2Fwoscc%2Ffull-record%2FWOS:000290698100009","View Full Record in Web of Science")</f>
        <v>View Full Record in Web of Science</v>
      </c>
    </row>
    <row r="252" spans="1:74" x14ac:dyDescent="0.2">
      <c r="A252" s="30" t="s">
        <v>243</v>
      </c>
      <c r="B252" s="30" t="s">
        <v>2213</v>
      </c>
      <c r="C252" s="30" t="s">
        <v>245</v>
      </c>
      <c r="D252" s="30" t="s">
        <v>245</v>
      </c>
      <c r="E252" s="30" t="s">
        <v>245</v>
      </c>
      <c r="F252" s="30" t="s">
        <v>2214</v>
      </c>
      <c r="G252" s="30" t="s">
        <v>245</v>
      </c>
      <c r="H252" s="30" t="s">
        <v>245</v>
      </c>
      <c r="I252" s="30" t="s">
        <v>2823</v>
      </c>
      <c r="K252" s="30" t="s">
        <v>2215</v>
      </c>
      <c r="L252" s="30" t="s">
        <v>2216</v>
      </c>
      <c r="M252" s="30" t="s">
        <v>245</v>
      </c>
      <c r="N252" s="30" t="s">
        <v>245</v>
      </c>
      <c r="O252" s="30" t="s">
        <v>245</v>
      </c>
      <c r="P252" s="30" t="s">
        <v>245</v>
      </c>
      <c r="Q252" s="30" t="s">
        <v>245</v>
      </c>
      <c r="R252" s="30" t="s">
        <v>245</v>
      </c>
      <c r="S252" s="30" t="s">
        <v>245</v>
      </c>
      <c r="T252" s="30" t="s">
        <v>245</v>
      </c>
      <c r="U252" s="30" t="s">
        <v>245</v>
      </c>
      <c r="V252" s="30" t="s">
        <v>245</v>
      </c>
      <c r="W252" s="30" t="s">
        <v>245</v>
      </c>
      <c r="X252" s="30" t="s">
        <v>245</v>
      </c>
      <c r="Y252" s="30" t="s">
        <v>245</v>
      </c>
      <c r="Z252" s="30" t="s">
        <v>245</v>
      </c>
      <c r="AA252" s="30" t="s">
        <v>245</v>
      </c>
      <c r="AB252" s="30" t="s">
        <v>245</v>
      </c>
      <c r="AC252" s="30" t="s">
        <v>1971</v>
      </c>
      <c r="AD252" s="30" t="s">
        <v>2217</v>
      </c>
      <c r="AE252" s="30" t="s">
        <v>245</v>
      </c>
      <c r="AF252" s="30" t="s">
        <v>245</v>
      </c>
      <c r="AG252" s="30" t="s">
        <v>245</v>
      </c>
      <c r="AH252" s="30" t="s">
        <v>245</v>
      </c>
      <c r="AI252" s="30" t="s">
        <v>245</v>
      </c>
      <c r="AJ252" s="30" t="s">
        <v>245</v>
      </c>
      <c r="AK252" s="30" t="s">
        <v>245</v>
      </c>
      <c r="AL252" s="30" t="s">
        <v>245</v>
      </c>
      <c r="AM252" s="30" t="s">
        <v>245</v>
      </c>
      <c r="AN252" s="30" t="s">
        <v>245</v>
      </c>
      <c r="AO252" s="30" t="s">
        <v>245</v>
      </c>
      <c r="AP252" s="30" t="s">
        <v>245</v>
      </c>
      <c r="AQ252" s="30" t="s">
        <v>2218</v>
      </c>
      <c r="AR252" s="30" t="s">
        <v>2219</v>
      </c>
      <c r="AS252" s="30" t="s">
        <v>245</v>
      </c>
      <c r="AT252" s="30" t="s">
        <v>245</v>
      </c>
      <c r="AU252" s="30" t="s">
        <v>245</v>
      </c>
      <c r="AV252" s="30" t="s">
        <v>535</v>
      </c>
      <c r="AW252" s="30">
        <v>2019</v>
      </c>
      <c r="AX252" s="30">
        <v>22</v>
      </c>
      <c r="AY252" s="30">
        <v>5</v>
      </c>
      <c r="AZ252" s="30" t="s">
        <v>245</v>
      </c>
      <c r="BA252" s="30" t="s">
        <v>245</v>
      </c>
      <c r="BB252" s="30" t="s">
        <v>245</v>
      </c>
      <c r="BC252" s="30" t="s">
        <v>245</v>
      </c>
      <c r="BD252" s="30">
        <v>1108</v>
      </c>
      <c r="BE252" s="30">
        <v>1125</v>
      </c>
      <c r="BF252" s="30" t="s">
        <v>245</v>
      </c>
      <c r="BG252" s="30" t="s">
        <v>2220</v>
      </c>
      <c r="BH252" s="30" t="str">
        <f>HYPERLINK("http://dx.doi.org/10.1007/s10021-018-0325-2","http://dx.doi.org/10.1007/s10021-018-0325-2")</f>
        <v>http://dx.doi.org/10.1007/s10021-018-0325-2</v>
      </c>
      <c r="BI252" s="30" t="s">
        <v>245</v>
      </c>
      <c r="BJ252" s="30" t="s">
        <v>245</v>
      </c>
      <c r="BK252" s="30" t="s">
        <v>245</v>
      </c>
      <c r="BL252" s="30" t="s">
        <v>245</v>
      </c>
      <c r="BM252" s="30" t="s">
        <v>245</v>
      </c>
      <c r="BN252" s="30" t="s">
        <v>245</v>
      </c>
      <c r="BO252" s="30" t="s">
        <v>245</v>
      </c>
      <c r="BP252" s="30" t="s">
        <v>245</v>
      </c>
      <c r="BQ252" s="30" t="s">
        <v>245</v>
      </c>
      <c r="BR252" s="30" t="s">
        <v>245</v>
      </c>
      <c r="BS252" s="30" t="s">
        <v>245</v>
      </c>
      <c r="BT252" s="30" t="s">
        <v>245</v>
      </c>
      <c r="BU252" s="30" t="s">
        <v>2221</v>
      </c>
      <c r="BV252" s="30" t="str">
        <f>HYPERLINK("https%3A%2F%2Fwww.webofscience.com%2Fwos%2Fwoscc%2Ffull-record%2FWOS:000480546800013","View Full Record in Web of Science")</f>
        <v>View Full Record in Web of Science</v>
      </c>
    </row>
    <row r="253" spans="1:74" x14ac:dyDescent="0.2">
      <c r="A253" s="30" t="s">
        <v>243</v>
      </c>
      <c r="B253" s="30" t="s">
        <v>2222</v>
      </c>
      <c r="C253" s="30" t="s">
        <v>245</v>
      </c>
      <c r="D253" s="30" t="s">
        <v>245</v>
      </c>
      <c r="E253" s="30" t="s">
        <v>245</v>
      </c>
      <c r="F253" s="30" t="s">
        <v>2222</v>
      </c>
      <c r="G253" s="30" t="s">
        <v>245</v>
      </c>
      <c r="H253" s="30" t="s">
        <v>245</v>
      </c>
      <c r="I253" s="30" t="s">
        <v>2822</v>
      </c>
      <c r="K253" s="30" t="s">
        <v>2223</v>
      </c>
      <c r="L253" s="30" t="s">
        <v>2224</v>
      </c>
      <c r="M253" s="30" t="s">
        <v>245</v>
      </c>
      <c r="N253" s="30" t="s">
        <v>245</v>
      </c>
      <c r="O253" s="30" t="s">
        <v>245</v>
      </c>
      <c r="P253" s="30" t="s">
        <v>245</v>
      </c>
      <c r="Q253" s="30" t="s">
        <v>245</v>
      </c>
      <c r="R253" s="30" t="s">
        <v>245</v>
      </c>
      <c r="S253" s="30" t="s">
        <v>245</v>
      </c>
      <c r="T253" s="30" t="s">
        <v>245</v>
      </c>
      <c r="U253" s="30" t="s">
        <v>245</v>
      </c>
      <c r="V253" s="30" t="s">
        <v>245</v>
      </c>
      <c r="W253" s="30" t="s">
        <v>245</v>
      </c>
      <c r="X253" s="30" t="s">
        <v>245</v>
      </c>
      <c r="Y253" s="30" t="s">
        <v>245</v>
      </c>
      <c r="Z253" s="30" t="s">
        <v>245</v>
      </c>
      <c r="AA253" s="30" t="s">
        <v>245</v>
      </c>
      <c r="AB253" s="30" t="s">
        <v>245</v>
      </c>
      <c r="AC253" s="30" t="s">
        <v>245</v>
      </c>
      <c r="AD253" s="30" t="s">
        <v>245</v>
      </c>
      <c r="AE253" s="30" t="s">
        <v>245</v>
      </c>
      <c r="AF253" s="30" t="s">
        <v>245</v>
      </c>
      <c r="AG253" s="30" t="s">
        <v>245</v>
      </c>
      <c r="AH253" s="30" t="s">
        <v>245</v>
      </c>
      <c r="AI253" s="30" t="s">
        <v>245</v>
      </c>
      <c r="AJ253" s="30" t="s">
        <v>245</v>
      </c>
      <c r="AK253" s="30" t="s">
        <v>245</v>
      </c>
      <c r="AL253" s="30" t="s">
        <v>245</v>
      </c>
      <c r="AM253" s="30" t="s">
        <v>245</v>
      </c>
      <c r="AN253" s="30" t="s">
        <v>245</v>
      </c>
      <c r="AO253" s="30" t="s">
        <v>245</v>
      </c>
      <c r="AP253" s="30" t="s">
        <v>245</v>
      </c>
      <c r="AQ253" s="30" t="s">
        <v>2225</v>
      </c>
      <c r="AR253" s="30" t="s">
        <v>245</v>
      </c>
      <c r="AS253" s="30" t="s">
        <v>245</v>
      </c>
      <c r="AT253" s="30" t="s">
        <v>245</v>
      </c>
      <c r="AU253" s="30" t="s">
        <v>245</v>
      </c>
      <c r="AV253" s="30" t="s">
        <v>481</v>
      </c>
      <c r="AW253" s="30">
        <v>1996</v>
      </c>
      <c r="AX253" s="30">
        <v>60</v>
      </c>
      <c r="AY253" s="30">
        <v>4</v>
      </c>
      <c r="AZ253" s="30" t="s">
        <v>245</v>
      </c>
      <c r="BA253" s="30" t="s">
        <v>245</v>
      </c>
      <c r="BB253" s="30" t="s">
        <v>245</v>
      </c>
      <c r="BC253" s="30" t="s">
        <v>245</v>
      </c>
      <c r="BD253" s="30">
        <v>609</v>
      </c>
      <c r="BE253" s="30" t="s">
        <v>2226</v>
      </c>
      <c r="BF253" s="30" t="s">
        <v>245</v>
      </c>
      <c r="BG253" s="30" t="s">
        <v>2227</v>
      </c>
      <c r="BH253" s="30" t="str">
        <f>HYPERLINK("http://dx.doi.org/10.1128/MMBR.60.4.609-640.1996","http://dx.doi.org/10.1128/MMBR.60.4.609-640.1996")</f>
        <v>http://dx.doi.org/10.1128/MMBR.60.4.609-640.1996</v>
      </c>
      <c r="BI253" s="30" t="s">
        <v>245</v>
      </c>
      <c r="BJ253" s="30" t="s">
        <v>245</v>
      </c>
      <c r="BK253" s="30" t="s">
        <v>245</v>
      </c>
      <c r="BL253" s="30" t="s">
        <v>245</v>
      </c>
      <c r="BM253" s="30" t="s">
        <v>245</v>
      </c>
      <c r="BN253" s="30" t="s">
        <v>245</v>
      </c>
      <c r="BO253" s="30" t="s">
        <v>245</v>
      </c>
      <c r="BP253" s="30">
        <v>8987358</v>
      </c>
      <c r="BQ253" s="30" t="s">
        <v>245</v>
      </c>
      <c r="BR253" s="30" t="s">
        <v>245</v>
      </c>
      <c r="BS253" s="30" t="s">
        <v>245</v>
      </c>
      <c r="BT253" s="30" t="s">
        <v>245</v>
      </c>
      <c r="BU253" s="30" t="s">
        <v>2228</v>
      </c>
      <c r="BV253" s="30" t="str">
        <f>HYPERLINK("https%3A%2F%2Fwww.webofscience.com%2Fwos%2Fwoscc%2Ffull-record%2FWOS:A1996VX87800002","View Full Record in Web of Science")</f>
        <v>View Full Record in Web of Science</v>
      </c>
    </row>
    <row r="254" spans="1:74" x14ac:dyDescent="0.2">
      <c r="A254" s="30" t="s">
        <v>243</v>
      </c>
      <c r="B254" s="30" t="s">
        <v>2229</v>
      </c>
      <c r="C254" s="30" t="s">
        <v>245</v>
      </c>
      <c r="D254" s="30" t="s">
        <v>245</v>
      </c>
      <c r="E254" s="30" t="s">
        <v>245</v>
      </c>
      <c r="F254" s="30" t="s">
        <v>2230</v>
      </c>
      <c r="G254" s="30" t="s">
        <v>245</v>
      </c>
      <c r="H254" s="30" t="s">
        <v>245</v>
      </c>
      <c r="I254" s="30" t="s">
        <v>2821</v>
      </c>
      <c r="K254" s="30" t="s">
        <v>2231</v>
      </c>
      <c r="L254" s="30" t="s">
        <v>952</v>
      </c>
      <c r="M254" s="30" t="s">
        <v>245</v>
      </c>
      <c r="N254" s="30" t="s">
        <v>245</v>
      </c>
      <c r="O254" s="30" t="s">
        <v>245</v>
      </c>
      <c r="P254" s="30" t="s">
        <v>245</v>
      </c>
      <c r="Q254" s="30" t="s">
        <v>245</v>
      </c>
      <c r="R254" s="30" t="s">
        <v>245</v>
      </c>
      <c r="S254" s="30" t="s">
        <v>245</v>
      </c>
      <c r="T254" s="30" t="s">
        <v>245</v>
      </c>
      <c r="U254" s="30" t="s">
        <v>245</v>
      </c>
      <c r="V254" s="30" t="s">
        <v>245</v>
      </c>
      <c r="W254" s="30" t="s">
        <v>245</v>
      </c>
      <c r="X254" s="30" t="s">
        <v>245</v>
      </c>
      <c r="Y254" s="30" t="s">
        <v>245</v>
      </c>
      <c r="Z254" s="30" t="s">
        <v>245</v>
      </c>
      <c r="AA254" s="30" t="s">
        <v>245</v>
      </c>
      <c r="AB254" s="30" t="s">
        <v>245</v>
      </c>
      <c r="AC254" s="30" t="s">
        <v>2232</v>
      </c>
      <c r="AD254" s="30" t="s">
        <v>2233</v>
      </c>
      <c r="AE254" s="30" t="s">
        <v>245</v>
      </c>
      <c r="AF254" s="30" t="s">
        <v>245</v>
      </c>
      <c r="AG254" s="30" t="s">
        <v>245</v>
      </c>
      <c r="AH254" s="30" t="s">
        <v>245</v>
      </c>
      <c r="AI254" s="30" t="s">
        <v>245</v>
      </c>
      <c r="AJ254" s="30" t="s">
        <v>245</v>
      </c>
      <c r="AK254" s="30" t="s">
        <v>245</v>
      </c>
      <c r="AL254" s="30" t="s">
        <v>245</v>
      </c>
      <c r="AM254" s="30" t="s">
        <v>245</v>
      </c>
      <c r="AN254" s="30" t="s">
        <v>245</v>
      </c>
      <c r="AO254" s="30" t="s">
        <v>245</v>
      </c>
      <c r="AP254" s="30" t="s">
        <v>245</v>
      </c>
      <c r="AQ254" s="30" t="s">
        <v>955</v>
      </c>
      <c r="AR254" s="30" t="s">
        <v>956</v>
      </c>
      <c r="AS254" s="30" t="s">
        <v>245</v>
      </c>
      <c r="AT254" s="30" t="s">
        <v>245</v>
      </c>
      <c r="AU254" s="30" t="s">
        <v>245</v>
      </c>
      <c r="AV254" s="30" t="s">
        <v>2234</v>
      </c>
      <c r="AW254" s="30">
        <v>2022</v>
      </c>
      <c r="AX254" s="30">
        <v>289</v>
      </c>
      <c r="AY254" s="30" t="s">
        <v>245</v>
      </c>
      <c r="AZ254" s="30" t="s">
        <v>245</v>
      </c>
      <c r="BA254" s="30" t="s">
        <v>245</v>
      </c>
      <c r="BB254" s="30" t="s">
        <v>245</v>
      </c>
      <c r="BC254" s="30" t="s">
        <v>245</v>
      </c>
      <c r="BD254" s="30" t="s">
        <v>245</v>
      </c>
      <c r="BE254" s="30" t="s">
        <v>245</v>
      </c>
      <c r="BF254" s="30">
        <v>108732</v>
      </c>
      <c r="BG254" s="30" t="s">
        <v>2235</v>
      </c>
      <c r="BH254" s="30" t="str">
        <f>HYPERLINK("http://dx.doi.org/10.1016/j.fcr.2022.108732","http://dx.doi.org/10.1016/j.fcr.2022.108732")</f>
        <v>http://dx.doi.org/10.1016/j.fcr.2022.108732</v>
      </c>
      <c r="BI254" s="30" t="s">
        <v>245</v>
      </c>
      <c r="BJ254" s="30" t="s">
        <v>2031</v>
      </c>
      <c r="BK254" s="30" t="s">
        <v>245</v>
      </c>
      <c r="BL254" s="30" t="s">
        <v>245</v>
      </c>
      <c r="BM254" s="30" t="s">
        <v>245</v>
      </c>
      <c r="BN254" s="30" t="s">
        <v>245</v>
      </c>
      <c r="BO254" s="30" t="s">
        <v>245</v>
      </c>
      <c r="BP254" s="30" t="s">
        <v>245</v>
      </c>
      <c r="BQ254" s="30" t="s">
        <v>245</v>
      </c>
      <c r="BR254" s="30" t="s">
        <v>245</v>
      </c>
      <c r="BS254" s="30" t="s">
        <v>245</v>
      </c>
      <c r="BT254" s="30" t="s">
        <v>245</v>
      </c>
      <c r="BU254" s="30" t="s">
        <v>2236</v>
      </c>
      <c r="BV254" s="30" t="str">
        <f>HYPERLINK("https%3A%2F%2Fwww.webofscience.com%2Fwos%2Fwoscc%2Ffull-record%2FWOS:000878038900005","View Full Record in Web of Science")</f>
        <v>View Full Record in Web of Science</v>
      </c>
    </row>
    <row r="255" spans="1:74" x14ac:dyDescent="0.2">
      <c r="A255" s="30" t="s">
        <v>243</v>
      </c>
      <c r="B255" s="30" t="s">
        <v>2237</v>
      </c>
      <c r="C255" s="30" t="s">
        <v>245</v>
      </c>
      <c r="D255" s="30" t="s">
        <v>245</v>
      </c>
      <c r="E255" s="30" t="s">
        <v>245</v>
      </c>
      <c r="F255" s="30" t="s">
        <v>2238</v>
      </c>
      <c r="G255" s="30" t="s">
        <v>245</v>
      </c>
      <c r="H255" s="30" t="s">
        <v>245</v>
      </c>
      <c r="I255" s="30" t="s">
        <v>2823</v>
      </c>
      <c r="K255" s="30" t="s">
        <v>2239</v>
      </c>
      <c r="L255" s="30" t="s">
        <v>413</v>
      </c>
      <c r="M255" s="30" t="s">
        <v>245</v>
      </c>
      <c r="N255" s="30" t="s">
        <v>245</v>
      </c>
      <c r="O255" s="30" t="s">
        <v>245</v>
      </c>
      <c r="P255" s="30" t="s">
        <v>245</v>
      </c>
      <c r="Q255" s="30" t="s">
        <v>245</v>
      </c>
      <c r="R255" s="30" t="s">
        <v>245</v>
      </c>
      <c r="S255" s="30" t="s">
        <v>245</v>
      </c>
      <c r="T255" s="30" t="s">
        <v>245</v>
      </c>
      <c r="U255" s="30" t="s">
        <v>245</v>
      </c>
      <c r="V255" s="30" t="s">
        <v>245</v>
      </c>
      <c r="W255" s="30" t="s">
        <v>245</v>
      </c>
      <c r="X255" s="30" t="s">
        <v>245</v>
      </c>
      <c r="Y255" s="30" t="s">
        <v>245</v>
      </c>
      <c r="Z255" s="30" t="s">
        <v>245</v>
      </c>
      <c r="AA255" s="30" t="s">
        <v>245</v>
      </c>
      <c r="AB255" s="30" t="s">
        <v>245</v>
      </c>
      <c r="AC255" s="30" t="s">
        <v>2240</v>
      </c>
      <c r="AD255" s="30" t="s">
        <v>2241</v>
      </c>
      <c r="AE255" s="30" t="s">
        <v>245</v>
      </c>
      <c r="AF255" s="30" t="s">
        <v>245</v>
      </c>
      <c r="AG255" s="30" t="s">
        <v>245</v>
      </c>
      <c r="AH255" s="30" t="s">
        <v>245</v>
      </c>
      <c r="AI255" s="30" t="s">
        <v>245</v>
      </c>
      <c r="AJ255" s="30" t="s">
        <v>245</v>
      </c>
      <c r="AK255" s="30" t="s">
        <v>245</v>
      </c>
      <c r="AL255" s="30" t="s">
        <v>245</v>
      </c>
      <c r="AM255" s="30" t="s">
        <v>245</v>
      </c>
      <c r="AN255" s="30" t="s">
        <v>245</v>
      </c>
      <c r="AO255" s="30" t="s">
        <v>245</v>
      </c>
      <c r="AP255" s="30" t="s">
        <v>245</v>
      </c>
      <c r="AQ255" s="30" t="s">
        <v>416</v>
      </c>
      <c r="AR255" s="30" t="s">
        <v>417</v>
      </c>
      <c r="AS255" s="30" t="s">
        <v>245</v>
      </c>
      <c r="AT255" s="30" t="s">
        <v>245</v>
      </c>
      <c r="AU255" s="30" t="s">
        <v>245</v>
      </c>
      <c r="AV255" s="30" t="s">
        <v>2242</v>
      </c>
      <c r="AW255" s="30">
        <v>2022</v>
      </c>
      <c r="AX255" s="30">
        <v>807</v>
      </c>
      <c r="AY255" s="30" t="s">
        <v>245</v>
      </c>
      <c r="AZ255" s="30">
        <v>1</v>
      </c>
      <c r="BA255" s="30" t="s">
        <v>245</v>
      </c>
      <c r="BB255" s="30" t="s">
        <v>245</v>
      </c>
      <c r="BC255" s="30" t="s">
        <v>245</v>
      </c>
      <c r="BD255" s="30" t="s">
        <v>245</v>
      </c>
      <c r="BE255" s="30" t="s">
        <v>245</v>
      </c>
      <c r="BF255" s="30">
        <v>150670</v>
      </c>
      <c r="BG255" s="30" t="s">
        <v>2243</v>
      </c>
      <c r="BH255" s="30" t="str">
        <f>HYPERLINK("http://dx.doi.org/10.1016/j.scitotenv.2021.150670","http://dx.doi.org/10.1016/j.scitotenv.2021.150670")</f>
        <v>http://dx.doi.org/10.1016/j.scitotenv.2021.150670</v>
      </c>
      <c r="BI255" s="30" t="s">
        <v>245</v>
      </c>
      <c r="BJ255" s="30" t="s">
        <v>408</v>
      </c>
      <c r="BK255" s="30" t="s">
        <v>245</v>
      </c>
      <c r="BL255" s="30" t="s">
        <v>245</v>
      </c>
      <c r="BM255" s="30" t="s">
        <v>245</v>
      </c>
      <c r="BN255" s="30" t="s">
        <v>245</v>
      </c>
      <c r="BO255" s="30" t="s">
        <v>245</v>
      </c>
      <c r="BP255" s="30">
        <v>34610408</v>
      </c>
      <c r="BQ255" s="30" t="s">
        <v>245</v>
      </c>
      <c r="BR255" s="30" t="s">
        <v>245</v>
      </c>
      <c r="BS255" s="30" t="s">
        <v>245</v>
      </c>
      <c r="BT255" s="30" t="s">
        <v>245</v>
      </c>
      <c r="BU255" s="30" t="s">
        <v>2244</v>
      </c>
      <c r="BV255" s="30" t="str">
        <f>HYPERLINK("https%3A%2F%2Fwww.webofscience.com%2Fwos%2Fwoscc%2Ffull-record%2FWOS:000707663100007","View Full Record in Web of Science")</f>
        <v>View Full Record in Web of Science</v>
      </c>
    </row>
    <row r="256" spans="1:74" x14ac:dyDescent="0.2">
      <c r="A256" s="30" t="s">
        <v>243</v>
      </c>
      <c r="B256" s="30" t="s">
        <v>2245</v>
      </c>
      <c r="C256" s="30" t="s">
        <v>245</v>
      </c>
      <c r="D256" s="30" t="s">
        <v>245</v>
      </c>
      <c r="E256" s="30" t="s">
        <v>245</v>
      </c>
      <c r="F256" s="30" t="s">
        <v>2245</v>
      </c>
      <c r="G256" s="30" t="s">
        <v>245</v>
      </c>
      <c r="H256" s="30" t="s">
        <v>245</v>
      </c>
      <c r="J256" s="30" t="s">
        <v>2833</v>
      </c>
      <c r="K256" s="30" t="s">
        <v>2246</v>
      </c>
      <c r="L256" s="30" t="s">
        <v>986</v>
      </c>
      <c r="M256" s="30" t="s">
        <v>245</v>
      </c>
      <c r="N256" s="30" t="s">
        <v>245</v>
      </c>
      <c r="O256" s="30" t="s">
        <v>245</v>
      </c>
      <c r="P256" s="30" t="s">
        <v>245</v>
      </c>
      <c r="Q256" s="30" t="s">
        <v>245</v>
      </c>
      <c r="R256" s="30" t="s">
        <v>245</v>
      </c>
      <c r="S256" s="30" t="s">
        <v>245</v>
      </c>
      <c r="T256" s="30" t="s">
        <v>245</v>
      </c>
      <c r="U256" s="30" t="s">
        <v>245</v>
      </c>
      <c r="V256" s="30" t="s">
        <v>245</v>
      </c>
      <c r="W256" s="30" t="s">
        <v>245</v>
      </c>
      <c r="X256" s="30" t="s">
        <v>245</v>
      </c>
      <c r="Y256" s="30" t="s">
        <v>245</v>
      </c>
      <c r="Z256" s="30" t="s">
        <v>245</v>
      </c>
      <c r="AA256" s="30" t="s">
        <v>245</v>
      </c>
      <c r="AB256" s="30" t="s">
        <v>245</v>
      </c>
      <c r="AC256" s="30" t="s">
        <v>2247</v>
      </c>
      <c r="AD256" s="30" t="s">
        <v>2248</v>
      </c>
      <c r="AE256" s="30" t="s">
        <v>245</v>
      </c>
      <c r="AF256" s="30" t="s">
        <v>245</v>
      </c>
      <c r="AG256" s="30" t="s">
        <v>245</v>
      </c>
      <c r="AH256" s="30" t="s">
        <v>245</v>
      </c>
      <c r="AI256" s="30" t="s">
        <v>245</v>
      </c>
      <c r="AJ256" s="30" t="s">
        <v>245</v>
      </c>
      <c r="AK256" s="30" t="s">
        <v>245</v>
      </c>
      <c r="AL256" s="30" t="s">
        <v>245</v>
      </c>
      <c r="AM256" s="30" t="s">
        <v>245</v>
      </c>
      <c r="AN256" s="30" t="s">
        <v>245</v>
      </c>
      <c r="AO256" s="30" t="s">
        <v>245</v>
      </c>
      <c r="AP256" s="30" t="s">
        <v>245</v>
      </c>
      <c r="AQ256" s="30" t="s">
        <v>987</v>
      </c>
      <c r="AR256" s="30" t="s">
        <v>245</v>
      </c>
      <c r="AS256" s="30" t="s">
        <v>245</v>
      </c>
      <c r="AT256" s="30" t="s">
        <v>245</v>
      </c>
      <c r="AU256" s="30" t="s">
        <v>245</v>
      </c>
      <c r="AV256" s="30" t="s">
        <v>454</v>
      </c>
      <c r="AW256" s="30">
        <v>2002</v>
      </c>
      <c r="AX256" s="30">
        <v>68</v>
      </c>
      <c r="AY256" s="30">
        <v>9</v>
      </c>
      <c r="AZ256" s="30" t="s">
        <v>245</v>
      </c>
      <c r="BA256" s="30" t="s">
        <v>245</v>
      </c>
      <c r="BB256" s="30" t="s">
        <v>245</v>
      </c>
      <c r="BC256" s="30" t="s">
        <v>245</v>
      </c>
      <c r="BD256" s="30">
        <v>4480</v>
      </c>
      <c r="BE256" s="30">
        <v>4485</v>
      </c>
      <c r="BF256" s="30" t="s">
        <v>245</v>
      </c>
      <c r="BG256" s="30" t="s">
        <v>2249</v>
      </c>
      <c r="BH256" s="30" t="str">
        <f>HYPERLINK("http://dx.doi.org/10.1128/AEM.68.9.4480-4485.2002","http://dx.doi.org/10.1128/AEM.68.9.4480-4485.2002")</f>
        <v>http://dx.doi.org/10.1128/AEM.68.9.4480-4485.2002</v>
      </c>
      <c r="BI256" s="30" t="s">
        <v>245</v>
      </c>
      <c r="BJ256" s="30" t="s">
        <v>245</v>
      </c>
      <c r="BK256" s="30" t="s">
        <v>245</v>
      </c>
      <c r="BL256" s="30" t="s">
        <v>245</v>
      </c>
      <c r="BM256" s="30" t="s">
        <v>245</v>
      </c>
      <c r="BN256" s="30" t="s">
        <v>245</v>
      </c>
      <c r="BO256" s="30" t="s">
        <v>245</v>
      </c>
      <c r="BP256" s="30">
        <v>12200303</v>
      </c>
      <c r="BQ256" s="30" t="s">
        <v>245</v>
      </c>
      <c r="BR256" s="30" t="s">
        <v>245</v>
      </c>
      <c r="BS256" s="30" t="s">
        <v>245</v>
      </c>
      <c r="BT256" s="30" t="s">
        <v>245</v>
      </c>
      <c r="BU256" s="30" t="s">
        <v>2250</v>
      </c>
      <c r="BV256" s="30" t="str">
        <f>HYPERLINK("https%3A%2F%2Fwww.webofscience.com%2Fwos%2Fwoscc%2Ffull-record%2FWOS:000177718000042","View Full Record in Web of Science")</f>
        <v>View Full Record in Web of Science</v>
      </c>
    </row>
    <row r="257" spans="1:74" x14ac:dyDescent="0.2">
      <c r="A257" s="30" t="s">
        <v>243</v>
      </c>
      <c r="B257" s="30" t="s">
        <v>1965</v>
      </c>
      <c r="C257" s="30" t="s">
        <v>245</v>
      </c>
      <c r="D257" s="30" t="s">
        <v>245</v>
      </c>
      <c r="E257" s="30" t="s">
        <v>245</v>
      </c>
      <c r="F257" s="30" t="s">
        <v>1965</v>
      </c>
      <c r="G257" s="30" t="s">
        <v>245</v>
      </c>
      <c r="H257" s="30" t="s">
        <v>245</v>
      </c>
      <c r="I257" s="30" t="s">
        <v>2823</v>
      </c>
      <c r="K257" s="30" t="s">
        <v>2251</v>
      </c>
      <c r="L257" s="30" t="s">
        <v>875</v>
      </c>
      <c r="M257" s="30" t="s">
        <v>245</v>
      </c>
      <c r="N257" s="30" t="s">
        <v>245</v>
      </c>
      <c r="O257" s="30" t="s">
        <v>245</v>
      </c>
      <c r="P257" s="30" t="s">
        <v>245</v>
      </c>
      <c r="Q257" s="30" t="s">
        <v>245</v>
      </c>
      <c r="R257" s="30" t="s">
        <v>245</v>
      </c>
      <c r="S257" s="30" t="s">
        <v>245</v>
      </c>
      <c r="T257" s="30" t="s">
        <v>245</v>
      </c>
      <c r="U257" s="30" t="s">
        <v>245</v>
      </c>
      <c r="V257" s="30" t="s">
        <v>245</v>
      </c>
      <c r="W257" s="30" t="s">
        <v>245</v>
      </c>
      <c r="X257" s="30" t="s">
        <v>245</v>
      </c>
      <c r="Y257" s="30" t="s">
        <v>245</v>
      </c>
      <c r="Z257" s="30" t="s">
        <v>245</v>
      </c>
      <c r="AA257" s="30" t="s">
        <v>245</v>
      </c>
      <c r="AB257" s="30" t="s">
        <v>245</v>
      </c>
      <c r="AC257" s="30" t="s">
        <v>245</v>
      </c>
      <c r="AD257" s="30" t="s">
        <v>245</v>
      </c>
      <c r="AE257" s="30" t="s">
        <v>245</v>
      </c>
      <c r="AF257" s="30" t="s">
        <v>245</v>
      </c>
      <c r="AG257" s="30" t="s">
        <v>245</v>
      </c>
      <c r="AH257" s="30" t="s">
        <v>245</v>
      </c>
      <c r="AI257" s="30" t="s">
        <v>245</v>
      </c>
      <c r="AJ257" s="30" t="s">
        <v>245</v>
      </c>
      <c r="AK257" s="30" t="s">
        <v>245</v>
      </c>
      <c r="AL257" s="30" t="s">
        <v>245</v>
      </c>
      <c r="AM257" s="30" t="s">
        <v>245</v>
      </c>
      <c r="AN257" s="30" t="s">
        <v>245</v>
      </c>
      <c r="AO257" s="30" t="s">
        <v>245</v>
      </c>
      <c r="AP257" s="30" t="s">
        <v>245</v>
      </c>
      <c r="AQ257" s="30" t="s">
        <v>878</v>
      </c>
      <c r="AR257" s="30" t="s">
        <v>245</v>
      </c>
      <c r="AS257" s="30" t="s">
        <v>245</v>
      </c>
      <c r="AT257" s="30" t="s">
        <v>245</v>
      </c>
      <c r="AU257" s="30" t="s">
        <v>245</v>
      </c>
      <c r="AV257" s="30" t="s">
        <v>487</v>
      </c>
      <c r="AW257" s="30">
        <v>1998</v>
      </c>
      <c r="AX257" s="30">
        <v>25</v>
      </c>
      <c r="AY257" s="30">
        <v>3</v>
      </c>
      <c r="AZ257" s="30" t="s">
        <v>245</v>
      </c>
      <c r="BA257" s="30" t="s">
        <v>245</v>
      </c>
      <c r="BB257" s="30" t="s">
        <v>245</v>
      </c>
      <c r="BC257" s="30" t="s">
        <v>245</v>
      </c>
      <c r="BD257" s="30">
        <v>301</v>
      </c>
      <c r="BE257" s="30">
        <v>318</v>
      </c>
      <c r="BF257" s="30" t="s">
        <v>245</v>
      </c>
      <c r="BG257" s="30" t="s">
        <v>245</v>
      </c>
      <c r="BH257" s="30" t="s">
        <v>245</v>
      </c>
      <c r="BI257" s="30" t="s">
        <v>245</v>
      </c>
      <c r="BJ257" s="30" t="s">
        <v>245</v>
      </c>
      <c r="BK257" s="30" t="s">
        <v>245</v>
      </c>
      <c r="BL257" s="30" t="s">
        <v>245</v>
      </c>
      <c r="BM257" s="30" t="s">
        <v>245</v>
      </c>
      <c r="BN257" s="30" t="s">
        <v>245</v>
      </c>
      <c r="BO257" s="30" t="s">
        <v>245</v>
      </c>
      <c r="BP257" s="30" t="s">
        <v>245</v>
      </c>
      <c r="BQ257" s="30" t="s">
        <v>245</v>
      </c>
      <c r="BR257" s="30" t="s">
        <v>245</v>
      </c>
      <c r="BS257" s="30" t="s">
        <v>245</v>
      </c>
      <c r="BT257" s="30" t="s">
        <v>245</v>
      </c>
      <c r="BU257" s="30" t="s">
        <v>2252</v>
      </c>
      <c r="BV257" s="30" t="str">
        <f>HYPERLINK("https%3A%2F%2Fwww.webofscience.com%2Fwos%2Fwoscc%2Ffull-record%2FWOS:000072513200010","View Full Record in Web of Science")</f>
        <v>View Full Record in Web of Science</v>
      </c>
    </row>
    <row r="258" spans="1:74" x14ac:dyDescent="0.2">
      <c r="A258" s="30" t="s">
        <v>243</v>
      </c>
      <c r="B258" s="30" t="s">
        <v>2108</v>
      </c>
      <c r="C258" s="30" t="s">
        <v>245</v>
      </c>
      <c r="D258" s="30" t="s">
        <v>245</v>
      </c>
      <c r="E258" s="30" t="s">
        <v>245</v>
      </c>
      <c r="F258" s="30" t="s">
        <v>2109</v>
      </c>
      <c r="G258" s="30" t="s">
        <v>245</v>
      </c>
      <c r="H258" s="30" t="s">
        <v>245</v>
      </c>
      <c r="I258" s="30" t="s">
        <v>2826</v>
      </c>
      <c r="K258" s="30" t="s">
        <v>2253</v>
      </c>
      <c r="L258" s="30" t="s">
        <v>2254</v>
      </c>
      <c r="M258" s="30" t="s">
        <v>245</v>
      </c>
      <c r="N258" s="30" t="s">
        <v>245</v>
      </c>
      <c r="O258" s="30" t="s">
        <v>245</v>
      </c>
      <c r="P258" s="30" t="s">
        <v>245</v>
      </c>
      <c r="Q258" s="30" t="s">
        <v>245</v>
      </c>
      <c r="R258" s="30" t="s">
        <v>245</v>
      </c>
      <c r="S258" s="30" t="s">
        <v>245</v>
      </c>
      <c r="T258" s="30" t="s">
        <v>245</v>
      </c>
      <c r="U258" s="30" t="s">
        <v>245</v>
      </c>
      <c r="V258" s="30" t="s">
        <v>245</v>
      </c>
      <c r="W258" s="30" t="s">
        <v>245</v>
      </c>
      <c r="X258" s="30" t="s">
        <v>245</v>
      </c>
      <c r="Y258" s="30" t="s">
        <v>245</v>
      </c>
      <c r="Z258" s="30" t="s">
        <v>245</v>
      </c>
      <c r="AA258" s="30" t="s">
        <v>245</v>
      </c>
      <c r="AB258" s="30" t="s">
        <v>245</v>
      </c>
      <c r="AC258" s="30" t="s">
        <v>2112</v>
      </c>
      <c r="AD258" s="30" t="s">
        <v>2255</v>
      </c>
      <c r="AE258" s="30" t="s">
        <v>245</v>
      </c>
      <c r="AF258" s="30" t="s">
        <v>245</v>
      </c>
      <c r="AG258" s="30" t="s">
        <v>245</v>
      </c>
      <c r="AH258" s="30" t="s">
        <v>245</v>
      </c>
      <c r="AI258" s="30" t="s">
        <v>245</v>
      </c>
      <c r="AJ258" s="30" t="s">
        <v>245</v>
      </c>
      <c r="AK258" s="30" t="s">
        <v>245</v>
      </c>
      <c r="AL258" s="30" t="s">
        <v>245</v>
      </c>
      <c r="AM258" s="30" t="s">
        <v>245</v>
      </c>
      <c r="AN258" s="30" t="s">
        <v>245</v>
      </c>
      <c r="AO258" s="30" t="s">
        <v>245</v>
      </c>
      <c r="AP258" s="30" t="s">
        <v>245</v>
      </c>
      <c r="AQ258" s="30" t="s">
        <v>2256</v>
      </c>
      <c r="AR258" s="30" t="s">
        <v>245</v>
      </c>
      <c r="AS258" s="30" t="s">
        <v>245</v>
      </c>
      <c r="AT258" s="30" t="s">
        <v>245</v>
      </c>
      <c r="AU258" s="30" t="s">
        <v>245</v>
      </c>
      <c r="AV258" s="30" t="s">
        <v>2257</v>
      </c>
      <c r="AW258" s="30">
        <v>2022</v>
      </c>
      <c r="AX258" s="30">
        <v>6</v>
      </c>
      <c r="AY258" s="30">
        <v>12</v>
      </c>
      <c r="AZ258" s="30" t="s">
        <v>245</v>
      </c>
      <c r="BA258" s="30" t="s">
        <v>245</v>
      </c>
      <c r="BB258" s="30" t="s">
        <v>245</v>
      </c>
      <c r="BC258" s="30" t="s">
        <v>245</v>
      </c>
      <c r="BD258" s="30">
        <v>2801</v>
      </c>
      <c r="BE258" s="30">
        <v>2811</v>
      </c>
      <c r="BF258" s="30" t="s">
        <v>245</v>
      </c>
      <c r="BG258" s="30" t="s">
        <v>2258</v>
      </c>
      <c r="BH258" s="30" t="str">
        <f>HYPERLINK("http://dx.doi.org/10.1021/acsearthspacechem.2c00158","http://dx.doi.org/10.1021/acsearthspacechem.2c00158")</f>
        <v>http://dx.doi.org/10.1021/acsearthspacechem.2c00158</v>
      </c>
      <c r="BI258" s="30" t="s">
        <v>245</v>
      </c>
      <c r="BJ258" s="30" t="s">
        <v>1098</v>
      </c>
      <c r="BK258" s="30" t="s">
        <v>245</v>
      </c>
      <c r="BL258" s="30" t="s">
        <v>245</v>
      </c>
      <c r="BM258" s="30" t="s">
        <v>245</v>
      </c>
      <c r="BN258" s="30" t="s">
        <v>245</v>
      </c>
      <c r="BO258" s="30" t="s">
        <v>245</v>
      </c>
      <c r="BP258" s="30" t="s">
        <v>245</v>
      </c>
      <c r="BQ258" s="30" t="s">
        <v>245</v>
      </c>
      <c r="BR258" s="30" t="s">
        <v>245</v>
      </c>
      <c r="BS258" s="30" t="s">
        <v>245</v>
      </c>
      <c r="BT258" s="30" t="s">
        <v>245</v>
      </c>
      <c r="BU258" s="30" t="s">
        <v>2259</v>
      </c>
      <c r="BV258" s="30" t="str">
        <f>HYPERLINK("https%3A%2F%2Fwww.webofscience.com%2Fwos%2Fwoscc%2Ffull-record%2FWOS:000891159700001","View Full Record in Web of Science")</f>
        <v>View Full Record in Web of Science</v>
      </c>
    </row>
    <row r="259" spans="1:74" x14ac:dyDescent="0.2">
      <c r="A259" s="30" t="s">
        <v>243</v>
      </c>
      <c r="B259" s="30" t="s">
        <v>2260</v>
      </c>
      <c r="C259" s="30" t="s">
        <v>245</v>
      </c>
      <c r="D259" s="30" t="s">
        <v>245</v>
      </c>
      <c r="E259" s="30" t="s">
        <v>245</v>
      </c>
      <c r="F259" s="30" t="s">
        <v>2261</v>
      </c>
      <c r="G259" s="30" t="s">
        <v>245</v>
      </c>
      <c r="H259" s="30" t="s">
        <v>245</v>
      </c>
      <c r="I259" s="30" t="s">
        <v>2823</v>
      </c>
      <c r="K259" s="30" t="s">
        <v>2262</v>
      </c>
      <c r="L259" s="30" t="s">
        <v>413</v>
      </c>
      <c r="M259" s="30" t="s">
        <v>245</v>
      </c>
      <c r="N259" s="30" t="s">
        <v>245</v>
      </c>
      <c r="O259" s="30" t="s">
        <v>245</v>
      </c>
      <c r="P259" s="30" t="s">
        <v>245</v>
      </c>
      <c r="Q259" s="30" t="s">
        <v>245</v>
      </c>
      <c r="R259" s="30" t="s">
        <v>245</v>
      </c>
      <c r="S259" s="30" t="s">
        <v>245</v>
      </c>
      <c r="T259" s="30" t="s">
        <v>245</v>
      </c>
      <c r="U259" s="30" t="s">
        <v>245</v>
      </c>
      <c r="V259" s="30" t="s">
        <v>245</v>
      </c>
      <c r="W259" s="30" t="s">
        <v>245</v>
      </c>
      <c r="X259" s="30" t="s">
        <v>245</v>
      </c>
      <c r="Y259" s="30" t="s">
        <v>245</v>
      </c>
      <c r="Z259" s="30" t="s">
        <v>245</v>
      </c>
      <c r="AA259" s="30" t="s">
        <v>245</v>
      </c>
      <c r="AB259" s="30" t="s">
        <v>245</v>
      </c>
      <c r="AC259" s="30" t="s">
        <v>2263</v>
      </c>
      <c r="AD259" s="30" t="s">
        <v>2264</v>
      </c>
      <c r="AE259" s="30" t="s">
        <v>245</v>
      </c>
      <c r="AF259" s="30" t="s">
        <v>245</v>
      </c>
      <c r="AG259" s="30" t="s">
        <v>245</v>
      </c>
      <c r="AH259" s="30" t="s">
        <v>245</v>
      </c>
      <c r="AI259" s="30" t="s">
        <v>245</v>
      </c>
      <c r="AJ259" s="30" t="s">
        <v>245</v>
      </c>
      <c r="AK259" s="30" t="s">
        <v>245</v>
      </c>
      <c r="AL259" s="30" t="s">
        <v>245</v>
      </c>
      <c r="AM259" s="30" t="s">
        <v>245</v>
      </c>
      <c r="AN259" s="30" t="s">
        <v>245</v>
      </c>
      <c r="AO259" s="30" t="s">
        <v>245</v>
      </c>
      <c r="AP259" s="30" t="s">
        <v>245</v>
      </c>
      <c r="AQ259" s="30" t="s">
        <v>416</v>
      </c>
      <c r="AR259" s="30" t="s">
        <v>417</v>
      </c>
      <c r="AS259" s="30" t="s">
        <v>245</v>
      </c>
      <c r="AT259" s="30" t="s">
        <v>245</v>
      </c>
      <c r="AU259" s="30" t="s">
        <v>245</v>
      </c>
      <c r="AV259" s="30" t="s">
        <v>1772</v>
      </c>
      <c r="AW259" s="30">
        <v>2021</v>
      </c>
      <c r="AX259" s="30">
        <v>781</v>
      </c>
      <c r="AY259" s="30" t="s">
        <v>245</v>
      </c>
      <c r="AZ259" s="30" t="s">
        <v>245</v>
      </c>
      <c r="BA259" s="30" t="s">
        <v>245</v>
      </c>
      <c r="BB259" s="30" t="s">
        <v>245</v>
      </c>
      <c r="BC259" s="30" t="s">
        <v>245</v>
      </c>
      <c r="BD259" s="30" t="s">
        <v>245</v>
      </c>
      <c r="BE259" s="30" t="s">
        <v>245</v>
      </c>
      <c r="BF259" s="30">
        <v>146713</v>
      </c>
      <c r="BG259" s="30" t="s">
        <v>2265</v>
      </c>
      <c r="BH259" s="30" t="str">
        <f>HYPERLINK("http://dx.doi.org/10.1016/j.scitotenv.2021.146713","http://dx.doi.org/10.1016/j.scitotenv.2021.146713")</f>
        <v>http://dx.doi.org/10.1016/j.scitotenv.2021.146713</v>
      </c>
      <c r="BI259" s="30" t="s">
        <v>245</v>
      </c>
      <c r="BJ259" s="30" t="s">
        <v>524</v>
      </c>
      <c r="BK259" s="30" t="s">
        <v>245</v>
      </c>
      <c r="BL259" s="30" t="s">
        <v>245</v>
      </c>
      <c r="BM259" s="30" t="s">
        <v>245</v>
      </c>
      <c r="BN259" s="30" t="s">
        <v>245</v>
      </c>
      <c r="BO259" s="30" t="s">
        <v>245</v>
      </c>
      <c r="BP259" s="30">
        <v>33784529</v>
      </c>
      <c r="BQ259" s="30" t="s">
        <v>245</v>
      </c>
      <c r="BR259" s="30" t="s">
        <v>245</v>
      </c>
      <c r="BS259" s="30" t="s">
        <v>245</v>
      </c>
      <c r="BT259" s="30" t="s">
        <v>245</v>
      </c>
      <c r="BU259" s="30" t="s">
        <v>2266</v>
      </c>
      <c r="BV259" s="30" t="str">
        <f>HYPERLINK("https%3A%2F%2Fwww.webofscience.com%2Fwos%2Fwoscc%2Ffull-record%2FWOS:000655621000014","View Full Record in Web of Science")</f>
        <v>View Full Record in Web of Science</v>
      </c>
    </row>
    <row r="260" spans="1:74" x14ac:dyDescent="0.2">
      <c r="A260" s="30" t="s">
        <v>243</v>
      </c>
      <c r="B260" s="30" t="s">
        <v>2267</v>
      </c>
      <c r="C260" s="30" t="s">
        <v>245</v>
      </c>
      <c r="D260" s="30" t="s">
        <v>245</v>
      </c>
      <c r="E260" s="30" t="s">
        <v>245</v>
      </c>
      <c r="F260" s="30" t="s">
        <v>2268</v>
      </c>
      <c r="G260" s="30" t="s">
        <v>245</v>
      </c>
      <c r="H260" s="30" t="s">
        <v>245</v>
      </c>
      <c r="I260" s="30" t="s">
        <v>2823</v>
      </c>
      <c r="K260" s="30" t="s">
        <v>2269</v>
      </c>
      <c r="L260" s="30" t="s">
        <v>450</v>
      </c>
      <c r="M260" s="30" t="s">
        <v>245</v>
      </c>
      <c r="N260" s="30" t="s">
        <v>245</v>
      </c>
      <c r="O260" s="30" t="s">
        <v>245</v>
      </c>
      <c r="P260" s="30" t="s">
        <v>245</v>
      </c>
      <c r="Q260" s="30" t="s">
        <v>245</v>
      </c>
      <c r="R260" s="30" t="s">
        <v>245</v>
      </c>
      <c r="S260" s="30" t="s">
        <v>245</v>
      </c>
      <c r="T260" s="30" t="s">
        <v>245</v>
      </c>
      <c r="U260" s="30" t="s">
        <v>245</v>
      </c>
      <c r="V260" s="30" t="s">
        <v>245</v>
      </c>
      <c r="W260" s="30" t="s">
        <v>245</v>
      </c>
      <c r="X260" s="30" t="s">
        <v>245</v>
      </c>
      <c r="Y260" s="30" t="s">
        <v>245</v>
      </c>
      <c r="Z260" s="30" t="s">
        <v>245</v>
      </c>
      <c r="AA260" s="30" t="s">
        <v>245</v>
      </c>
      <c r="AB260" s="30" t="s">
        <v>245</v>
      </c>
      <c r="AC260" s="30" t="s">
        <v>2270</v>
      </c>
      <c r="AD260" s="30" t="s">
        <v>2271</v>
      </c>
      <c r="AE260" s="30" t="s">
        <v>245</v>
      </c>
      <c r="AF260" s="30" t="s">
        <v>245</v>
      </c>
      <c r="AG260" s="30" t="s">
        <v>245</v>
      </c>
      <c r="AH260" s="30" t="s">
        <v>245</v>
      </c>
      <c r="AI260" s="30" t="s">
        <v>245</v>
      </c>
      <c r="AJ260" s="30" t="s">
        <v>245</v>
      </c>
      <c r="AK260" s="30" t="s">
        <v>245</v>
      </c>
      <c r="AL260" s="30" t="s">
        <v>245</v>
      </c>
      <c r="AM260" s="30" t="s">
        <v>245</v>
      </c>
      <c r="AN260" s="30" t="s">
        <v>245</v>
      </c>
      <c r="AO260" s="30" t="s">
        <v>245</v>
      </c>
      <c r="AP260" s="30" t="s">
        <v>245</v>
      </c>
      <c r="AQ260" s="30" t="s">
        <v>452</v>
      </c>
      <c r="AR260" s="30" t="s">
        <v>245</v>
      </c>
      <c r="AS260" s="30" t="s">
        <v>245</v>
      </c>
      <c r="AT260" s="30" t="s">
        <v>245</v>
      </c>
      <c r="AU260" s="30" t="s">
        <v>245</v>
      </c>
      <c r="AV260" s="30" t="s">
        <v>487</v>
      </c>
      <c r="AW260" s="30">
        <v>2011</v>
      </c>
      <c r="AX260" s="30">
        <v>37</v>
      </c>
      <c r="AY260" s="30">
        <v>3</v>
      </c>
      <c r="AZ260" s="30" t="s">
        <v>245</v>
      </c>
      <c r="BA260" s="30" t="s">
        <v>245</v>
      </c>
      <c r="BB260" s="30" t="s">
        <v>245</v>
      </c>
      <c r="BC260" s="30" t="s">
        <v>245</v>
      </c>
      <c r="BD260" s="30">
        <v>511</v>
      </c>
      <c r="BE260" s="30">
        <v>522</v>
      </c>
      <c r="BF260" s="30" t="s">
        <v>245</v>
      </c>
      <c r="BG260" s="30" t="s">
        <v>2272</v>
      </c>
      <c r="BH260" s="30" t="str">
        <f>HYPERLINK("http://dx.doi.org/10.1016/j.ecoleng.2010.12.006","http://dx.doi.org/10.1016/j.ecoleng.2010.12.006")</f>
        <v>http://dx.doi.org/10.1016/j.ecoleng.2010.12.006</v>
      </c>
      <c r="BI260" s="30" t="s">
        <v>245</v>
      </c>
      <c r="BJ260" s="30" t="s">
        <v>245</v>
      </c>
      <c r="BK260" s="30" t="s">
        <v>245</v>
      </c>
      <c r="BL260" s="30" t="s">
        <v>245</v>
      </c>
      <c r="BM260" s="30" t="s">
        <v>245</v>
      </c>
      <c r="BN260" s="30" t="s">
        <v>245</v>
      </c>
      <c r="BO260" s="30" t="s">
        <v>245</v>
      </c>
      <c r="BP260" s="30" t="s">
        <v>245</v>
      </c>
      <c r="BQ260" s="30" t="s">
        <v>245</v>
      </c>
      <c r="BR260" s="30" t="s">
        <v>245</v>
      </c>
      <c r="BS260" s="30" t="s">
        <v>245</v>
      </c>
      <c r="BT260" s="30" t="s">
        <v>245</v>
      </c>
      <c r="BU260" s="30" t="s">
        <v>2273</v>
      </c>
      <c r="BV260" s="30" t="str">
        <f>HYPERLINK("https%3A%2F%2Fwww.webofscience.com%2Fwos%2Fwoscc%2Ffull-record%2FWOS:000288043000013","View Full Record in Web of Science")</f>
        <v>View Full Record in Web of Science</v>
      </c>
    </row>
    <row r="261" spans="1:74" x14ac:dyDescent="0.2">
      <c r="A261" s="30" t="s">
        <v>243</v>
      </c>
      <c r="B261" s="30" t="s">
        <v>2274</v>
      </c>
      <c r="C261" s="30" t="s">
        <v>245</v>
      </c>
      <c r="D261" s="30" t="s">
        <v>245</v>
      </c>
      <c r="E261" s="30" t="s">
        <v>245</v>
      </c>
      <c r="F261" s="30" t="s">
        <v>2275</v>
      </c>
      <c r="G261" s="30" t="s">
        <v>245</v>
      </c>
      <c r="H261" s="30" t="s">
        <v>245</v>
      </c>
      <c r="I261" s="30" t="s">
        <v>2823</v>
      </c>
      <c r="K261" s="30" t="s">
        <v>2276</v>
      </c>
      <c r="L261" s="30" t="s">
        <v>271</v>
      </c>
      <c r="M261" s="30" t="s">
        <v>245</v>
      </c>
      <c r="N261" s="30" t="s">
        <v>245</v>
      </c>
      <c r="O261" s="30" t="s">
        <v>245</v>
      </c>
      <c r="P261" s="30" t="s">
        <v>245</v>
      </c>
      <c r="Q261" s="30" t="s">
        <v>245</v>
      </c>
      <c r="R261" s="30" t="s">
        <v>245</v>
      </c>
      <c r="S261" s="30" t="s">
        <v>245</v>
      </c>
      <c r="T261" s="30" t="s">
        <v>245</v>
      </c>
      <c r="U261" s="30" t="s">
        <v>245</v>
      </c>
      <c r="V261" s="30" t="s">
        <v>245</v>
      </c>
      <c r="W261" s="30" t="s">
        <v>245</v>
      </c>
      <c r="X261" s="30" t="s">
        <v>245</v>
      </c>
      <c r="Y261" s="30" t="s">
        <v>245</v>
      </c>
      <c r="Z261" s="30" t="s">
        <v>245</v>
      </c>
      <c r="AA261" s="30" t="s">
        <v>245</v>
      </c>
      <c r="AB261" s="30" t="s">
        <v>245</v>
      </c>
      <c r="AC261" s="30" t="s">
        <v>2277</v>
      </c>
      <c r="AD261" s="30" t="s">
        <v>2278</v>
      </c>
      <c r="AE261" s="30" t="s">
        <v>245</v>
      </c>
      <c r="AF261" s="30" t="s">
        <v>245</v>
      </c>
      <c r="AG261" s="30" t="s">
        <v>245</v>
      </c>
      <c r="AH261" s="30" t="s">
        <v>245</v>
      </c>
      <c r="AI261" s="30" t="s">
        <v>245</v>
      </c>
      <c r="AJ261" s="30" t="s">
        <v>245</v>
      </c>
      <c r="AK261" s="30" t="s">
        <v>245</v>
      </c>
      <c r="AL261" s="30" t="s">
        <v>245</v>
      </c>
      <c r="AM261" s="30" t="s">
        <v>245</v>
      </c>
      <c r="AN261" s="30" t="s">
        <v>245</v>
      </c>
      <c r="AO261" s="30" t="s">
        <v>245</v>
      </c>
      <c r="AP261" s="30" t="s">
        <v>245</v>
      </c>
      <c r="AQ261" s="30" t="s">
        <v>274</v>
      </c>
      <c r="AR261" s="30" t="s">
        <v>275</v>
      </c>
      <c r="AS261" s="30" t="s">
        <v>245</v>
      </c>
      <c r="AT261" s="30" t="s">
        <v>245</v>
      </c>
      <c r="AU261" s="30" t="s">
        <v>245</v>
      </c>
      <c r="AV261" s="30" t="s">
        <v>1899</v>
      </c>
      <c r="AW261" s="30">
        <v>2019</v>
      </c>
      <c r="AX261" s="30">
        <v>53</v>
      </c>
      <c r="AY261" s="30">
        <v>8</v>
      </c>
      <c r="AZ261" s="30" t="s">
        <v>245</v>
      </c>
      <c r="BA261" s="30" t="s">
        <v>245</v>
      </c>
      <c r="BB261" s="30" t="s">
        <v>245</v>
      </c>
      <c r="BC261" s="30" t="s">
        <v>245</v>
      </c>
      <c r="BD261" s="30">
        <v>4215</v>
      </c>
      <c r="BE261" s="30">
        <v>4223</v>
      </c>
      <c r="BF261" s="30" t="s">
        <v>245</v>
      </c>
      <c r="BG261" s="30" t="s">
        <v>2279</v>
      </c>
      <c r="BH261" s="30" t="str">
        <f>HYPERLINK("http://dx.doi.org/10.1021/acs.est.8b06187","http://dx.doi.org/10.1021/acs.est.8b06187")</f>
        <v>http://dx.doi.org/10.1021/acs.est.8b06187</v>
      </c>
      <c r="BI261" s="30" t="s">
        <v>245</v>
      </c>
      <c r="BJ261" s="30" t="s">
        <v>245</v>
      </c>
      <c r="BK261" s="30" t="s">
        <v>245</v>
      </c>
      <c r="BL261" s="30" t="s">
        <v>245</v>
      </c>
      <c r="BM261" s="30" t="s">
        <v>245</v>
      </c>
      <c r="BN261" s="30" t="s">
        <v>245</v>
      </c>
      <c r="BO261" s="30" t="s">
        <v>245</v>
      </c>
      <c r="BP261" s="30">
        <v>30882209</v>
      </c>
      <c r="BQ261" s="30" t="s">
        <v>245</v>
      </c>
      <c r="BR261" s="30" t="s">
        <v>245</v>
      </c>
      <c r="BS261" s="30" t="s">
        <v>245</v>
      </c>
      <c r="BT261" s="30" t="s">
        <v>245</v>
      </c>
      <c r="BU261" s="30" t="s">
        <v>2280</v>
      </c>
      <c r="BV261" s="30" t="str">
        <f>HYPERLINK("https%3A%2F%2Fwww.webofscience.com%2Fwos%2Fwoscc%2Ffull-record%2FWOS:000465190300021","View Full Record in Web of Science")</f>
        <v>View Full Record in Web of Science</v>
      </c>
    </row>
    <row r="262" spans="1:74" x14ac:dyDescent="0.2">
      <c r="A262" s="30" t="s">
        <v>243</v>
      </c>
      <c r="B262" s="30" t="s">
        <v>2281</v>
      </c>
      <c r="C262" s="30" t="s">
        <v>245</v>
      </c>
      <c r="D262" s="30" t="s">
        <v>245</v>
      </c>
      <c r="E262" s="30" t="s">
        <v>245</v>
      </c>
      <c r="F262" s="30" t="s">
        <v>2281</v>
      </c>
      <c r="G262" s="30" t="s">
        <v>245</v>
      </c>
      <c r="H262" s="30" t="s">
        <v>245</v>
      </c>
      <c r="I262" s="30" t="s">
        <v>2819</v>
      </c>
      <c r="K262" s="30" t="s">
        <v>2282</v>
      </c>
      <c r="L262" s="30" t="s">
        <v>2283</v>
      </c>
      <c r="M262" s="30" t="s">
        <v>245</v>
      </c>
      <c r="N262" s="30" t="s">
        <v>245</v>
      </c>
      <c r="O262" s="30" t="s">
        <v>245</v>
      </c>
      <c r="P262" s="30" t="s">
        <v>245</v>
      </c>
      <c r="Q262" s="30" t="s">
        <v>245</v>
      </c>
      <c r="R262" s="30" t="s">
        <v>245</v>
      </c>
      <c r="S262" s="30" t="s">
        <v>245</v>
      </c>
      <c r="T262" s="30" t="s">
        <v>245</v>
      </c>
      <c r="U262" s="30" t="s">
        <v>245</v>
      </c>
      <c r="V262" s="30" t="s">
        <v>245</v>
      </c>
      <c r="W262" s="30" t="s">
        <v>245</v>
      </c>
      <c r="X262" s="30" t="s">
        <v>245</v>
      </c>
      <c r="Y262" s="30" t="s">
        <v>245</v>
      </c>
      <c r="Z262" s="30" t="s">
        <v>245</v>
      </c>
      <c r="AA262" s="30" t="s">
        <v>245</v>
      </c>
      <c r="AB262" s="30" t="s">
        <v>245</v>
      </c>
      <c r="AC262" s="30" t="s">
        <v>2284</v>
      </c>
      <c r="AD262" s="30" t="s">
        <v>2285</v>
      </c>
      <c r="AE262" s="30" t="s">
        <v>245</v>
      </c>
      <c r="AF262" s="30" t="s">
        <v>245</v>
      </c>
      <c r="AG262" s="30" t="s">
        <v>245</v>
      </c>
      <c r="AH262" s="30" t="s">
        <v>245</v>
      </c>
      <c r="AI262" s="30" t="s">
        <v>245</v>
      </c>
      <c r="AJ262" s="30" t="s">
        <v>245</v>
      </c>
      <c r="AK262" s="30" t="s">
        <v>245</v>
      </c>
      <c r="AL262" s="30" t="s">
        <v>245</v>
      </c>
      <c r="AM262" s="30" t="s">
        <v>245</v>
      </c>
      <c r="AN262" s="30" t="s">
        <v>245</v>
      </c>
      <c r="AO262" s="30" t="s">
        <v>245</v>
      </c>
      <c r="AP262" s="30" t="s">
        <v>245</v>
      </c>
      <c r="AQ262" s="30" t="s">
        <v>2286</v>
      </c>
      <c r="AR262" s="30" t="s">
        <v>245</v>
      </c>
      <c r="AS262" s="30" t="s">
        <v>245</v>
      </c>
      <c r="AT262" s="30" t="s">
        <v>245</v>
      </c>
      <c r="AU262" s="30" t="s">
        <v>245</v>
      </c>
      <c r="AV262" s="30" t="s">
        <v>535</v>
      </c>
      <c r="AW262" s="30">
        <v>2001</v>
      </c>
      <c r="AX262" s="30">
        <v>75</v>
      </c>
      <c r="AY262" s="30" t="s">
        <v>1566</v>
      </c>
      <c r="AZ262" s="30" t="s">
        <v>245</v>
      </c>
      <c r="BA262" s="30" t="s">
        <v>245</v>
      </c>
      <c r="BB262" s="30" t="s">
        <v>245</v>
      </c>
      <c r="BC262" s="30" t="s">
        <v>245</v>
      </c>
      <c r="BD262" s="30">
        <v>159</v>
      </c>
      <c r="BE262" s="30">
        <v>163</v>
      </c>
      <c r="BF262" s="30" t="s">
        <v>245</v>
      </c>
      <c r="BG262" s="30" t="s">
        <v>245</v>
      </c>
      <c r="BH262" s="30" t="s">
        <v>245</v>
      </c>
      <c r="BI262" s="30" t="s">
        <v>245</v>
      </c>
      <c r="BJ262" s="30" t="s">
        <v>245</v>
      </c>
      <c r="BK262" s="30" t="s">
        <v>245</v>
      </c>
      <c r="BL262" s="30" t="s">
        <v>245</v>
      </c>
      <c r="BM262" s="30" t="s">
        <v>245</v>
      </c>
      <c r="BN262" s="30" t="s">
        <v>245</v>
      </c>
      <c r="BO262" s="30" t="s">
        <v>245</v>
      </c>
      <c r="BP262" s="30" t="s">
        <v>245</v>
      </c>
      <c r="BQ262" s="30" t="s">
        <v>245</v>
      </c>
      <c r="BR262" s="30" t="s">
        <v>245</v>
      </c>
      <c r="BS262" s="30" t="s">
        <v>245</v>
      </c>
      <c r="BT262" s="30" t="s">
        <v>245</v>
      </c>
      <c r="BU262" s="30" t="s">
        <v>2287</v>
      </c>
      <c r="BV262" s="30" t="str">
        <f>HYPERLINK("https%3A%2F%2Fwww.webofscience.com%2Fwos%2Fwoscc%2Ffull-record%2FWOS:000171008900013","View Full Record in Web of Science")</f>
        <v>View Full Record in Web of Science</v>
      </c>
    </row>
    <row r="263" spans="1:74" x14ac:dyDescent="0.2">
      <c r="A263" s="30" t="s">
        <v>243</v>
      </c>
      <c r="B263" s="30" t="s">
        <v>2288</v>
      </c>
      <c r="C263" s="30" t="s">
        <v>245</v>
      </c>
      <c r="D263" s="30" t="s">
        <v>245</v>
      </c>
      <c r="E263" s="30" t="s">
        <v>245</v>
      </c>
      <c r="F263" s="30" t="s">
        <v>2289</v>
      </c>
      <c r="G263" s="30" t="s">
        <v>245</v>
      </c>
      <c r="H263" s="30" t="s">
        <v>245</v>
      </c>
      <c r="I263" s="30" t="s">
        <v>2823</v>
      </c>
      <c r="K263" s="30" t="s">
        <v>2290</v>
      </c>
      <c r="L263" s="30" t="s">
        <v>248</v>
      </c>
      <c r="M263" s="30" t="s">
        <v>245</v>
      </c>
      <c r="N263" s="30" t="s">
        <v>245</v>
      </c>
      <c r="O263" s="30" t="s">
        <v>245</v>
      </c>
      <c r="P263" s="30" t="s">
        <v>245</v>
      </c>
      <c r="Q263" s="30" t="s">
        <v>245</v>
      </c>
      <c r="R263" s="30" t="s">
        <v>245</v>
      </c>
      <c r="S263" s="30" t="s">
        <v>245</v>
      </c>
      <c r="T263" s="30" t="s">
        <v>245</v>
      </c>
      <c r="U263" s="30" t="s">
        <v>245</v>
      </c>
      <c r="V263" s="30" t="s">
        <v>245</v>
      </c>
      <c r="W263" s="30" t="s">
        <v>245</v>
      </c>
      <c r="X263" s="30" t="s">
        <v>245</v>
      </c>
      <c r="Y263" s="30" t="s">
        <v>245</v>
      </c>
      <c r="Z263" s="30" t="s">
        <v>245</v>
      </c>
      <c r="AA263" s="30" t="s">
        <v>245</v>
      </c>
      <c r="AB263" s="30" t="s">
        <v>245</v>
      </c>
      <c r="AC263" s="30" t="s">
        <v>2291</v>
      </c>
      <c r="AD263" s="30" t="s">
        <v>2292</v>
      </c>
      <c r="AE263" s="30" t="s">
        <v>245</v>
      </c>
      <c r="AF263" s="30" t="s">
        <v>245</v>
      </c>
      <c r="AG263" s="30" t="s">
        <v>245</v>
      </c>
      <c r="AH263" s="30" t="s">
        <v>245</v>
      </c>
      <c r="AI263" s="30" t="s">
        <v>245</v>
      </c>
      <c r="AJ263" s="30" t="s">
        <v>245</v>
      </c>
      <c r="AK263" s="30" t="s">
        <v>245</v>
      </c>
      <c r="AL263" s="30" t="s">
        <v>245</v>
      </c>
      <c r="AM263" s="30" t="s">
        <v>245</v>
      </c>
      <c r="AN263" s="30" t="s">
        <v>245</v>
      </c>
      <c r="AO263" s="30" t="s">
        <v>245</v>
      </c>
      <c r="AP263" s="30" t="s">
        <v>245</v>
      </c>
      <c r="AQ263" s="30" t="s">
        <v>251</v>
      </c>
      <c r="AR263" s="30" t="s">
        <v>252</v>
      </c>
      <c r="AS263" s="30" t="s">
        <v>245</v>
      </c>
      <c r="AT263" s="30" t="s">
        <v>245</v>
      </c>
      <c r="AU263" s="30" t="s">
        <v>245</v>
      </c>
      <c r="AV263" s="30" t="s">
        <v>2293</v>
      </c>
      <c r="AW263" s="30">
        <v>2015</v>
      </c>
      <c r="AX263" s="30">
        <v>46</v>
      </c>
      <c r="AY263" s="30">
        <v>17</v>
      </c>
      <c r="AZ263" s="30" t="s">
        <v>245</v>
      </c>
      <c r="BA263" s="30" t="s">
        <v>245</v>
      </c>
      <c r="BB263" s="30" t="s">
        <v>245</v>
      </c>
      <c r="BC263" s="30" t="s">
        <v>245</v>
      </c>
      <c r="BD263" s="30">
        <v>2168</v>
      </c>
      <c r="BE263" s="30">
        <v>2176</v>
      </c>
      <c r="BF263" s="30" t="s">
        <v>245</v>
      </c>
      <c r="BG263" s="30" t="s">
        <v>2294</v>
      </c>
      <c r="BH263" s="30" t="str">
        <f>HYPERLINK("http://dx.doi.org/10.1080/00103624.2015.1069318","http://dx.doi.org/10.1080/00103624.2015.1069318")</f>
        <v>http://dx.doi.org/10.1080/00103624.2015.1069318</v>
      </c>
      <c r="BI263" s="30" t="s">
        <v>245</v>
      </c>
      <c r="BJ263" s="30" t="s">
        <v>245</v>
      </c>
      <c r="BK263" s="30" t="s">
        <v>245</v>
      </c>
      <c r="BL263" s="30" t="s">
        <v>245</v>
      </c>
      <c r="BM263" s="30" t="s">
        <v>245</v>
      </c>
      <c r="BN263" s="30" t="s">
        <v>245</v>
      </c>
      <c r="BO263" s="30" t="s">
        <v>245</v>
      </c>
      <c r="BP263" s="30" t="s">
        <v>245</v>
      </c>
      <c r="BQ263" s="30" t="s">
        <v>245</v>
      </c>
      <c r="BR263" s="30" t="s">
        <v>245</v>
      </c>
      <c r="BS263" s="30" t="s">
        <v>245</v>
      </c>
      <c r="BT263" s="30" t="s">
        <v>245</v>
      </c>
      <c r="BU263" s="30" t="s">
        <v>2295</v>
      </c>
      <c r="BV263" s="30" t="str">
        <f>HYPERLINK("https%3A%2F%2Fwww.webofscience.com%2Fwos%2Fwoscc%2Ffull-record%2FWOS:000361378200006","View Full Record in Web of Science")</f>
        <v>View Full Record in Web of Science</v>
      </c>
    </row>
    <row r="264" spans="1:74" x14ac:dyDescent="0.2">
      <c r="A264" s="30" t="s">
        <v>243</v>
      </c>
      <c r="B264" s="30" t="s">
        <v>2296</v>
      </c>
      <c r="C264" s="30" t="s">
        <v>245</v>
      </c>
      <c r="D264" s="30" t="s">
        <v>245</v>
      </c>
      <c r="E264" s="30" t="s">
        <v>245</v>
      </c>
      <c r="F264" s="30" t="s">
        <v>2297</v>
      </c>
      <c r="G264" s="30" t="s">
        <v>245</v>
      </c>
      <c r="H264" s="30" t="s">
        <v>245</v>
      </c>
      <c r="I264" s="30" t="s">
        <v>2823</v>
      </c>
      <c r="K264" s="30" t="s">
        <v>2298</v>
      </c>
      <c r="L264" s="30" t="s">
        <v>336</v>
      </c>
      <c r="M264" s="30" t="s">
        <v>245</v>
      </c>
      <c r="N264" s="30" t="s">
        <v>245</v>
      </c>
      <c r="O264" s="30" t="s">
        <v>245</v>
      </c>
      <c r="P264" s="30" t="s">
        <v>245</v>
      </c>
      <c r="Q264" s="30" t="s">
        <v>245</v>
      </c>
      <c r="R264" s="30" t="s">
        <v>245</v>
      </c>
      <c r="S264" s="30" t="s">
        <v>245</v>
      </c>
      <c r="T264" s="30" t="s">
        <v>245</v>
      </c>
      <c r="U264" s="30" t="s">
        <v>245</v>
      </c>
      <c r="V264" s="30" t="s">
        <v>245</v>
      </c>
      <c r="W264" s="30" t="s">
        <v>245</v>
      </c>
      <c r="X264" s="30" t="s">
        <v>245</v>
      </c>
      <c r="Y264" s="30" t="s">
        <v>245</v>
      </c>
      <c r="Z264" s="30" t="s">
        <v>245</v>
      </c>
      <c r="AA264" s="30" t="s">
        <v>245</v>
      </c>
      <c r="AB264" s="30" t="s">
        <v>245</v>
      </c>
      <c r="AC264" s="30" t="s">
        <v>2299</v>
      </c>
      <c r="AD264" s="30" t="s">
        <v>245</v>
      </c>
      <c r="AE264" s="30" t="s">
        <v>245</v>
      </c>
      <c r="AF264" s="30" t="s">
        <v>245</v>
      </c>
      <c r="AG264" s="30" t="s">
        <v>245</v>
      </c>
      <c r="AH264" s="30" t="s">
        <v>245</v>
      </c>
      <c r="AI264" s="30" t="s">
        <v>245</v>
      </c>
      <c r="AJ264" s="30" t="s">
        <v>245</v>
      </c>
      <c r="AK264" s="30" t="s">
        <v>245</v>
      </c>
      <c r="AL264" s="30" t="s">
        <v>245</v>
      </c>
      <c r="AM264" s="30" t="s">
        <v>245</v>
      </c>
      <c r="AN264" s="30" t="s">
        <v>245</v>
      </c>
      <c r="AO264" s="30" t="s">
        <v>245</v>
      </c>
      <c r="AP264" s="30" t="s">
        <v>245</v>
      </c>
      <c r="AQ264" s="30" t="s">
        <v>343</v>
      </c>
      <c r="AR264" s="30" t="s">
        <v>344</v>
      </c>
      <c r="AS264" s="30" t="s">
        <v>245</v>
      </c>
      <c r="AT264" s="30" t="s">
        <v>245</v>
      </c>
      <c r="AU264" s="30" t="s">
        <v>245</v>
      </c>
      <c r="AV264" s="30" t="s">
        <v>354</v>
      </c>
      <c r="AW264" s="30">
        <v>2017</v>
      </c>
      <c r="AX264" s="30">
        <v>107</v>
      </c>
      <c r="AY264" s="30">
        <v>3</v>
      </c>
      <c r="AZ264" s="30" t="s">
        <v>245</v>
      </c>
      <c r="BA264" s="30" t="s">
        <v>245</v>
      </c>
      <c r="BB264" s="30" t="s">
        <v>245</v>
      </c>
      <c r="BC264" s="30" t="s">
        <v>245</v>
      </c>
      <c r="BD264" s="30">
        <v>413</v>
      </c>
      <c r="BE264" s="30">
        <v>431</v>
      </c>
      <c r="BF264" s="30" t="s">
        <v>245</v>
      </c>
      <c r="BG264" s="30" t="s">
        <v>2300</v>
      </c>
      <c r="BH264" s="30" t="str">
        <f>HYPERLINK("http://dx.doi.org/10.1007/s10705-017-9841-2","http://dx.doi.org/10.1007/s10705-017-9841-2")</f>
        <v>http://dx.doi.org/10.1007/s10705-017-9841-2</v>
      </c>
      <c r="BI264" s="30" t="s">
        <v>245</v>
      </c>
      <c r="BJ264" s="30" t="s">
        <v>245</v>
      </c>
      <c r="BK264" s="30" t="s">
        <v>245</v>
      </c>
      <c r="BL264" s="30" t="s">
        <v>245</v>
      </c>
      <c r="BM264" s="30" t="s">
        <v>245</v>
      </c>
      <c r="BN264" s="30" t="s">
        <v>245</v>
      </c>
      <c r="BO264" s="30" t="s">
        <v>245</v>
      </c>
      <c r="BP264" s="30" t="s">
        <v>245</v>
      </c>
      <c r="BQ264" s="30" t="s">
        <v>245</v>
      </c>
      <c r="BR264" s="30" t="s">
        <v>245</v>
      </c>
      <c r="BS264" s="30" t="s">
        <v>245</v>
      </c>
      <c r="BT264" s="30" t="s">
        <v>245</v>
      </c>
      <c r="BU264" s="30" t="s">
        <v>2301</v>
      </c>
      <c r="BV264" s="30" t="str">
        <f>HYPERLINK("https%3A%2F%2Fwww.webofscience.com%2Fwos%2Fwoscc%2Ffull-record%2FWOS:000400234100009","View Full Record in Web of Science")</f>
        <v>View Full Record in Web of Science</v>
      </c>
    </row>
    <row r="265" spans="1:74" x14ac:dyDescent="0.2">
      <c r="A265" s="30" t="s">
        <v>243</v>
      </c>
      <c r="B265" s="30" t="s">
        <v>2302</v>
      </c>
      <c r="C265" s="30" t="s">
        <v>245</v>
      </c>
      <c r="D265" s="30" t="s">
        <v>245</v>
      </c>
      <c r="E265" s="30" t="s">
        <v>245</v>
      </c>
      <c r="F265" s="30" t="s">
        <v>2303</v>
      </c>
      <c r="G265" s="30" t="s">
        <v>245</v>
      </c>
      <c r="H265" s="30" t="s">
        <v>245</v>
      </c>
      <c r="I265" s="30" t="s">
        <v>2823</v>
      </c>
      <c r="K265" s="30" t="s">
        <v>2304</v>
      </c>
      <c r="L265" s="30" t="s">
        <v>2305</v>
      </c>
      <c r="M265" s="30" t="s">
        <v>245</v>
      </c>
      <c r="N265" s="30" t="s">
        <v>245</v>
      </c>
      <c r="O265" s="30" t="s">
        <v>245</v>
      </c>
      <c r="P265" s="30" t="s">
        <v>245</v>
      </c>
      <c r="Q265" s="30" t="s">
        <v>245</v>
      </c>
      <c r="R265" s="30" t="s">
        <v>245</v>
      </c>
      <c r="S265" s="30" t="s">
        <v>245</v>
      </c>
      <c r="T265" s="30" t="s">
        <v>245</v>
      </c>
      <c r="U265" s="30" t="s">
        <v>245</v>
      </c>
      <c r="V265" s="30" t="s">
        <v>245</v>
      </c>
      <c r="W265" s="30" t="s">
        <v>245</v>
      </c>
      <c r="X265" s="30" t="s">
        <v>245</v>
      </c>
      <c r="Y265" s="30" t="s">
        <v>245</v>
      </c>
      <c r="Z265" s="30" t="s">
        <v>245</v>
      </c>
      <c r="AA265" s="30" t="s">
        <v>245</v>
      </c>
      <c r="AB265" s="30" t="s">
        <v>245</v>
      </c>
      <c r="AC265" s="30" t="s">
        <v>245</v>
      </c>
      <c r="AD265" s="30" t="s">
        <v>2306</v>
      </c>
      <c r="AE265" s="30" t="s">
        <v>245</v>
      </c>
      <c r="AF265" s="30" t="s">
        <v>245</v>
      </c>
      <c r="AG265" s="30" t="s">
        <v>245</v>
      </c>
      <c r="AH265" s="30" t="s">
        <v>245</v>
      </c>
      <c r="AI265" s="30" t="s">
        <v>245</v>
      </c>
      <c r="AJ265" s="30" t="s">
        <v>245</v>
      </c>
      <c r="AK265" s="30" t="s">
        <v>245</v>
      </c>
      <c r="AL265" s="30" t="s">
        <v>245</v>
      </c>
      <c r="AM265" s="30" t="s">
        <v>245</v>
      </c>
      <c r="AN265" s="30" t="s">
        <v>245</v>
      </c>
      <c r="AO265" s="30" t="s">
        <v>245</v>
      </c>
      <c r="AP265" s="30" t="s">
        <v>245</v>
      </c>
      <c r="AQ265" s="30" t="s">
        <v>2307</v>
      </c>
      <c r="AR265" s="30" t="s">
        <v>2308</v>
      </c>
      <c r="AS265" s="30" t="s">
        <v>245</v>
      </c>
      <c r="AT265" s="30" t="s">
        <v>245</v>
      </c>
      <c r="AU265" s="30" t="s">
        <v>245</v>
      </c>
      <c r="AV265" s="30" t="s">
        <v>635</v>
      </c>
      <c r="AW265" s="30">
        <v>2024</v>
      </c>
      <c r="AX265" s="30">
        <v>569</v>
      </c>
      <c r="AY265" s="30" t="s">
        <v>245</v>
      </c>
      <c r="AZ265" s="30" t="s">
        <v>245</v>
      </c>
      <c r="BA265" s="30" t="s">
        <v>245</v>
      </c>
      <c r="BB265" s="30" t="s">
        <v>245</v>
      </c>
      <c r="BC265" s="30" t="s">
        <v>245</v>
      </c>
      <c r="BD265" s="30" t="s">
        <v>245</v>
      </c>
      <c r="BE265" s="30" t="s">
        <v>245</v>
      </c>
      <c r="BF265" s="30">
        <v>122146</v>
      </c>
      <c r="BG265" s="30" t="s">
        <v>2309</v>
      </c>
      <c r="BH265" s="30" t="str">
        <f>HYPERLINK("http://dx.doi.org/10.1016/j.foreco.2024.122146","http://dx.doi.org/10.1016/j.foreco.2024.122146")</f>
        <v>http://dx.doi.org/10.1016/j.foreco.2024.122146</v>
      </c>
      <c r="BI265" s="30" t="s">
        <v>245</v>
      </c>
      <c r="BJ265" s="30" t="s">
        <v>718</v>
      </c>
      <c r="BK265" s="30" t="s">
        <v>245</v>
      </c>
      <c r="BL265" s="30" t="s">
        <v>245</v>
      </c>
      <c r="BM265" s="30" t="s">
        <v>245</v>
      </c>
      <c r="BN265" s="30" t="s">
        <v>245</v>
      </c>
      <c r="BO265" s="30" t="s">
        <v>245</v>
      </c>
      <c r="BP265" s="30" t="s">
        <v>245</v>
      </c>
      <c r="BQ265" s="30" t="s">
        <v>245</v>
      </c>
      <c r="BR265" s="30" t="s">
        <v>245</v>
      </c>
      <c r="BS265" s="30" t="s">
        <v>245</v>
      </c>
      <c r="BT265" s="30" t="s">
        <v>245</v>
      </c>
      <c r="BU265" s="30" t="s">
        <v>2310</v>
      </c>
      <c r="BV265" s="30" t="str">
        <f>HYPERLINK("https%3A%2F%2Fwww.webofscience.com%2Fwos%2Fwoscc%2Ffull-record%2FWOS:001276287600001","View Full Record in Web of Science")</f>
        <v>View Full Record in Web of Science</v>
      </c>
    </row>
    <row r="266" spans="1:74" x14ac:dyDescent="0.2">
      <c r="A266" s="30" t="s">
        <v>243</v>
      </c>
      <c r="B266" s="30" t="s">
        <v>2311</v>
      </c>
      <c r="C266" s="30" t="s">
        <v>245</v>
      </c>
      <c r="D266" s="30" t="s">
        <v>245</v>
      </c>
      <c r="E266" s="30" t="s">
        <v>245</v>
      </c>
      <c r="F266" s="30" t="s">
        <v>2312</v>
      </c>
      <c r="G266" s="30" t="s">
        <v>245</v>
      </c>
      <c r="H266" s="30" t="s">
        <v>245</v>
      </c>
      <c r="I266" s="30" t="s">
        <v>2823</v>
      </c>
      <c r="K266" s="30" t="s">
        <v>2313</v>
      </c>
      <c r="L266" s="30" t="s">
        <v>2314</v>
      </c>
      <c r="M266" s="30" t="s">
        <v>245</v>
      </c>
      <c r="N266" s="30" t="s">
        <v>245</v>
      </c>
      <c r="O266" s="30" t="s">
        <v>245</v>
      </c>
      <c r="P266" s="30" t="s">
        <v>245</v>
      </c>
      <c r="Q266" s="30" t="s">
        <v>245</v>
      </c>
      <c r="R266" s="30" t="s">
        <v>245</v>
      </c>
      <c r="S266" s="30" t="s">
        <v>245</v>
      </c>
      <c r="T266" s="30" t="s">
        <v>245</v>
      </c>
      <c r="U266" s="30" t="s">
        <v>245</v>
      </c>
      <c r="V266" s="30" t="s">
        <v>245</v>
      </c>
      <c r="W266" s="30" t="s">
        <v>245</v>
      </c>
      <c r="X266" s="30" t="s">
        <v>245</v>
      </c>
      <c r="Y266" s="30" t="s">
        <v>245</v>
      </c>
      <c r="Z266" s="30" t="s">
        <v>245</v>
      </c>
      <c r="AA266" s="30" t="s">
        <v>245</v>
      </c>
      <c r="AB266" s="30" t="s">
        <v>245</v>
      </c>
      <c r="AC266" s="30" t="s">
        <v>2315</v>
      </c>
      <c r="AD266" s="30" t="s">
        <v>245</v>
      </c>
      <c r="AE266" s="30" t="s">
        <v>245</v>
      </c>
      <c r="AF266" s="30" t="s">
        <v>245</v>
      </c>
      <c r="AG266" s="30" t="s">
        <v>245</v>
      </c>
      <c r="AH266" s="30" t="s">
        <v>245</v>
      </c>
      <c r="AI266" s="30" t="s">
        <v>245</v>
      </c>
      <c r="AJ266" s="30" t="s">
        <v>245</v>
      </c>
      <c r="AK266" s="30" t="s">
        <v>245</v>
      </c>
      <c r="AL266" s="30" t="s">
        <v>245</v>
      </c>
      <c r="AM266" s="30" t="s">
        <v>245</v>
      </c>
      <c r="AN266" s="30" t="s">
        <v>245</v>
      </c>
      <c r="AO266" s="30" t="s">
        <v>245</v>
      </c>
      <c r="AP266" s="30" t="s">
        <v>245</v>
      </c>
      <c r="AQ266" s="30" t="s">
        <v>2316</v>
      </c>
      <c r="AR266" s="30" t="s">
        <v>2317</v>
      </c>
      <c r="AS266" s="30" t="s">
        <v>245</v>
      </c>
      <c r="AT266" s="30" t="s">
        <v>245</v>
      </c>
      <c r="AU266" s="30" t="s">
        <v>245</v>
      </c>
      <c r="AV266" s="30" t="s">
        <v>435</v>
      </c>
      <c r="AW266" s="30">
        <v>2024</v>
      </c>
      <c r="AX266" s="30">
        <v>21</v>
      </c>
      <c r="AY266" s="30">
        <v>9</v>
      </c>
      <c r="AZ266" s="30" t="s">
        <v>245</v>
      </c>
      <c r="BA266" s="30" t="s">
        <v>245</v>
      </c>
      <c r="BB266" s="30" t="s">
        <v>245</v>
      </c>
      <c r="BC266" s="30" t="s">
        <v>245</v>
      </c>
      <c r="BD266" s="30">
        <v>6759</v>
      </c>
      <c r="BE266" s="30">
        <v>6772</v>
      </c>
      <c r="BF266" s="30" t="s">
        <v>245</v>
      </c>
      <c r="BG266" s="30" t="s">
        <v>2318</v>
      </c>
      <c r="BH266" s="30" t="str">
        <f>HYPERLINK("http://dx.doi.org/10.1007/s13762-023-05430-6","http://dx.doi.org/10.1007/s13762-023-05430-6")</f>
        <v>http://dx.doi.org/10.1007/s13762-023-05430-6</v>
      </c>
      <c r="BI266" s="30" t="s">
        <v>245</v>
      </c>
      <c r="BJ266" s="30" t="s">
        <v>824</v>
      </c>
      <c r="BK266" s="30" t="s">
        <v>245</v>
      </c>
      <c r="BL266" s="30" t="s">
        <v>245</v>
      </c>
      <c r="BM266" s="30" t="s">
        <v>245</v>
      </c>
      <c r="BN266" s="30" t="s">
        <v>245</v>
      </c>
      <c r="BO266" s="30" t="s">
        <v>245</v>
      </c>
      <c r="BP266" s="30" t="s">
        <v>245</v>
      </c>
      <c r="BQ266" s="30" t="s">
        <v>245</v>
      </c>
      <c r="BR266" s="30" t="s">
        <v>245</v>
      </c>
      <c r="BS266" s="30" t="s">
        <v>245</v>
      </c>
      <c r="BT266" s="30" t="s">
        <v>245</v>
      </c>
      <c r="BU266" s="30" t="s">
        <v>2319</v>
      </c>
      <c r="BV266" s="30" t="str">
        <f>HYPERLINK("https%3A%2F%2Fwww.webofscience.com%2Fwos%2Fwoscc%2Ffull-record%2FWOS:001145314100002","View Full Record in Web of Science")</f>
        <v>View Full Record in Web of Science</v>
      </c>
    </row>
    <row r="267" spans="1:74" x14ac:dyDescent="0.2">
      <c r="A267" s="30" t="s">
        <v>243</v>
      </c>
      <c r="B267" s="30" t="s">
        <v>2320</v>
      </c>
      <c r="C267" s="30" t="s">
        <v>245</v>
      </c>
      <c r="D267" s="30" t="s">
        <v>245</v>
      </c>
      <c r="E267" s="30" t="s">
        <v>245</v>
      </c>
      <c r="F267" s="30" t="s">
        <v>2321</v>
      </c>
      <c r="G267" s="30" t="s">
        <v>245</v>
      </c>
      <c r="H267" s="30" t="s">
        <v>245</v>
      </c>
      <c r="I267" s="30" t="s">
        <v>2821</v>
      </c>
      <c r="K267" s="30" t="s">
        <v>2322</v>
      </c>
      <c r="L267" s="30" t="s">
        <v>541</v>
      </c>
      <c r="M267" s="30" t="s">
        <v>245</v>
      </c>
      <c r="N267" s="30" t="s">
        <v>245</v>
      </c>
      <c r="O267" s="30" t="s">
        <v>245</v>
      </c>
      <c r="P267" s="30" t="s">
        <v>245</v>
      </c>
      <c r="Q267" s="30" t="s">
        <v>245</v>
      </c>
      <c r="R267" s="30" t="s">
        <v>245</v>
      </c>
      <c r="S267" s="30" t="s">
        <v>245</v>
      </c>
      <c r="T267" s="30" t="s">
        <v>245</v>
      </c>
      <c r="U267" s="30" t="s">
        <v>245</v>
      </c>
      <c r="V267" s="30" t="s">
        <v>245</v>
      </c>
      <c r="W267" s="30" t="s">
        <v>245</v>
      </c>
      <c r="X267" s="30" t="s">
        <v>245</v>
      </c>
      <c r="Y267" s="30" t="s">
        <v>245</v>
      </c>
      <c r="Z267" s="30" t="s">
        <v>245</v>
      </c>
      <c r="AA267" s="30" t="s">
        <v>245</v>
      </c>
      <c r="AB267" s="30" t="s">
        <v>245</v>
      </c>
      <c r="AC267" s="30" t="s">
        <v>2323</v>
      </c>
      <c r="AD267" s="30" t="s">
        <v>245</v>
      </c>
      <c r="AE267" s="30" t="s">
        <v>245</v>
      </c>
      <c r="AF267" s="30" t="s">
        <v>245</v>
      </c>
      <c r="AG267" s="30" t="s">
        <v>245</v>
      </c>
      <c r="AH267" s="30" t="s">
        <v>245</v>
      </c>
      <c r="AI267" s="30" t="s">
        <v>245</v>
      </c>
      <c r="AJ267" s="30" t="s">
        <v>245</v>
      </c>
      <c r="AK267" s="30" t="s">
        <v>245</v>
      </c>
      <c r="AL267" s="30" t="s">
        <v>245</v>
      </c>
      <c r="AM267" s="30" t="s">
        <v>245</v>
      </c>
      <c r="AN267" s="30" t="s">
        <v>245</v>
      </c>
      <c r="AO267" s="30" t="s">
        <v>245</v>
      </c>
      <c r="AP267" s="30" t="s">
        <v>245</v>
      </c>
      <c r="AQ267" s="30" t="s">
        <v>544</v>
      </c>
      <c r="AR267" s="30" t="s">
        <v>545</v>
      </c>
      <c r="AS267" s="30" t="s">
        <v>245</v>
      </c>
      <c r="AT267" s="30" t="s">
        <v>245</v>
      </c>
      <c r="AU267" s="30" t="s">
        <v>245</v>
      </c>
      <c r="AV267" s="30" t="s">
        <v>2324</v>
      </c>
      <c r="AW267" s="30">
        <v>2024</v>
      </c>
      <c r="AX267" s="30">
        <v>370</v>
      </c>
      <c r="AY267" s="30" t="s">
        <v>245</v>
      </c>
      <c r="AZ267" s="30" t="s">
        <v>245</v>
      </c>
      <c r="BA267" s="30" t="s">
        <v>245</v>
      </c>
      <c r="BB267" s="30" t="s">
        <v>245</v>
      </c>
      <c r="BC267" s="30" t="s">
        <v>245</v>
      </c>
      <c r="BD267" s="30" t="s">
        <v>245</v>
      </c>
      <c r="BE267" s="30" t="s">
        <v>245</v>
      </c>
      <c r="BF267" s="30">
        <v>109066</v>
      </c>
      <c r="BG267" s="30" t="s">
        <v>2325</v>
      </c>
      <c r="BH267" s="30" t="str">
        <f>HYPERLINK("http://dx.doi.org/10.1016/j.agee.2024.109066","http://dx.doi.org/10.1016/j.agee.2024.109066")</f>
        <v>http://dx.doi.org/10.1016/j.agee.2024.109066</v>
      </c>
      <c r="BI267" s="30" t="s">
        <v>245</v>
      </c>
      <c r="BJ267" s="30" t="s">
        <v>1554</v>
      </c>
      <c r="BK267" s="30" t="s">
        <v>245</v>
      </c>
      <c r="BL267" s="30" t="s">
        <v>245</v>
      </c>
      <c r="BM267" s="30" t="s">
        <v>245</v>
      </c>
      <c r="BN267" s="30" t="s">
        <v>245</v>
      </c>
      <c r="BO267" s="30" t="s">
        <v>245</v>
      </c>
      <c r="BP267" s="30" t="s">
        <v>245</v>
      </c>
      <c r="BQ267" s="30" t="s">
        <v>245</v>
      </c>
      <c r="BR267" s="30" t="s">
        <v>245</v>
      </c>
      <c r="BS267" s="30" t="s">
        <v>245</v>
      </c>
      <c r="BT267" s="30" t="s">
        <v>245</v>
      </c>
      <c r="BU267" s="30" t="s">
        <v>2326</v>
      </c>
      <c r="BV267" s="30" t="str">
        <f>HYPERLINK("https%3A%2F%2Fwww.webofscience.com%2Fwos%2Fwoscc%2Ffull-record%2FWOS:001240600200001","View Full Record in Web of Science")</f>
        <v>View Full Record in Web of Science</v>
      </c>
    </row>
    <row r="268" spans="1:74" x14ac:dyDescent="0.2">
      <c r="A268" s="30" t="s">
        <v>243</v>
      </c>
      <c r="B268" s="30" t="s">
        <v>2327</v>
      </c>
      <c r="C268" s="30" t="s">
        <v>245</v>
      </c>
      <c r="D268" s="30" t="s">
        <v>245</v>
      </c>
      <c r="E268" s="30" t="s">
        <v>245</v>
      </c>
      <c r="F268" s="30" t="s">
        <v>2328</v>
      </c>
      <c r="G268" s="30" t="s">
        <v>245</v>
      </c>
      <c r="H268" s="30" t="s">
        <v>245</v>
      </c>
      <c r="I268" s="30" t="s">
        <v>2823</v>
      </c>
      <c r="K268" s="30" t="s">
        <v>2329</v>
      </c>
      <c r="L268" s="30" t="s">
        <v>641</v>
      </c>
      <c r="M268" s="30" t="s">
        <v>245</v>
      </c>
      <c r="N268" s="30" t="s">
        <v>245</v>
      </c>
      <c r="O268" s="30" t="s">
        <v>245</v>
      </c>
      <c r="P268" s="30" t="s">
        <v>245</v>
      </c>
      <c r="Q268" s="30" t="s">
        <v>245</v>
      </c>
      <c r="R268" s="30" t="s">
        <v>245</v>
      </c>
      <c r="S268" s="30" t="s">
        <v>245</v>
      </c>
      <c r="T268" s="30" t="s">
        <v>245</v>
      </c>
      <c r="U268" s="30" t="s">
        <v>245</v>
      </c>
      <c r="V268" s="30" t="s">
        <v>245</v>
      </c>
      <c r="W268" s="30" t="s">
        <v>245</v>
      </c>
      <c r="X268" s="30" t="s">
        <v>245</v>
      </c>
      <c r="Y268" s="30" t="s">
        <v>245</v>
      </c>
      <c r="Z268" s="30" t="s">
        <v>245</v>
      </c>
      <c r="AA268" s="30" t="s">
        <v>245</v>
      </c>
      <c r="AB268" s="30" t="s">
        <v>245</v>
      </c>
      <c r="AC268" s="30" t="s">
        <v>2330</v>
      </c>
      <c r="AD268" s="30" t="s">
        <v>2331</v>
      </c>
      <c r="AE268" s="30" t="s">
        <v>245</v>
      </c>
      <c r="AF268" s="30" t="s">
        <v>245</v>
      </c>
      <c r="AG268" s="30" t="s">
        <v>245</v>
      </c>
      <c r="AH268" s="30" t="s">
        <v>245</v>
      </c>
      <c r="AI268" s="30" t="s">
        <v>245</v>
      </c>
      <c r="AJ268" s="30" t="s">
        <v>245</v>
      </c>
      <c r="AK268" s="30" t="s">
        <v>245</v>
      </c>
      <c r="AL268" s="30" t="s">
        <v>245</v>
      </c>
      <c r="AM268" s="30" t="s">
        <v>245</v>
      </c>
      <c r="AN268" s="30" t="s">
        <v>245</v>
      </c>
      <c r="AO268" s="30" t="s">
        <v>245</v>
      </c>
      <c r="AP268" s="30" t="s">
        <v>245</v>
      </c>
      <c r="AQ268" s="30" t="s">
        <v>644</v>
      </c>
      <c r="AR268" s="30" t="s">
        <v>645</v>
      </c>
      <c r="AS268" s="30" t="s">
        <v>245</v>
      </c>
      <c r="AT268" s="30" t="s">
        <v>245</v>
      </c>
      <c r="AU268" s="30" t="s">
        <v>245</v>
      </c>
      <c r="AV268" s="30" t="s">
        <v>1786</v>
      </c>
      <c r="AW268" s="30">
        <v>2009</v>
      </c>
      <c r="AX268" s="30">
        <v>38</v>
      </c>
      <c r="AY268" s="30">
        <v>1</v>
      </c>
      <c r="AZ268" s="30" t="s">
        <v>245</v>
      </c>
      <c r="BA268" s="30" t="s">
        <v>245</v>
      </c>
      <c r="BB268" s="30" t="s">
        <v>245</v>
      </c>
      <c r="BC268" s="30" t="s">
        <v>245</v>
      </c>
      <c r="BD268" s="30">
        <v>27</v>
      </c>
      <c r="BE268" s="30">
        <v>35</v>
      </c>
      <c r="BF268" s="30" t="s">
        <v>245</v>
      </c>
      <c r="BG268" s="30" t="s">
        <v>2332</v>
      </c>
      <c r="BH268" s="30" t="str">
        <f>HYPERLINK("http://dx.doi.org/10.2134/jeq2008.0034","http://dx.doi.org/10.2134/jeq2008.0034")</f>
        <v>http://dx.doi.org/10.2134/jeq2008.0034</v>
      </c>
      <c r="BI268" s="30" t="s">
        <v>245</v>
      </c>
      <c r="BJ268" s="30" t="s">
        <v>245</v>
      </c>
      <c r="BK268" s="30" t="s">
        <v>245</v>
      </c>
      <c r="BL268" s="30" t="s">
        <v>245</v>
      </c>
      <c r="BM268" s="30" t="s">
        <v>245</v>
      </c>
      <c r="BN268" s="30" t="s">
        <v>245</v>
      </c>
      <c r="BO268" s="30" t="s">
        <v>245</v>
      </c>
      <c r="BP268" s="30">
        <v>19141792</v>
      </c>
      <c r="BQ268" s="30" t="s">
        <v>245</v>
      </c>
      <c r="BR268" s="30" t="s">
        <v>245</v>
      </c>
      <c r="BS268" s="30" t="s">
        <v>245</v>
      </c>
      <c r="BT268" s="30" t="s">
        <v>245</v>
      </c>
      <c r="BU268" s="30" t="s">
        <v>2333</v>
      </c>
      <c r="BV268" s="30" t="str">
        <f>HYPERLINK("https%3A%2F%2Fwww.webofscience.com%2Fwos%2Fwoscc%2Ffull-record%2FWOS:000262483500005","View Full Record in Web of Science")</f>
        <v>View Full Record in Web of Science</v>
      </c>
    </row>
    <row r="269" spans="1:74" x14ac:dyDescent="0.2">
      <c r="A269" s="30" t="s">
        <v>243</v>
      </c>
      <c r="B269" s="30" t="s">
        <v>2334</v>
      </c>
      <c r="C269" s="30" t="s">
        <v>245</v>
      </c>
      <c r="D269" s="30" t="s">
        <v>245</v>
      </c>
      <c r="E269" s="30" t="s">
        <v>245</v>
      </c>
      <c r="F269" s="30" t="s">
        <v>2335</v>
      </c>
      <c r="G269" s="30" t="s">
        <v>245</v>
      </c>
      <c r="H269" s="30" t="s">
        <v>245</v>
      </c>
      <c r="I269" s="30" t="s">
        <v>2819</v>
      </c>
      <c r="K269" s="30" t="s">
        <v>2336</v>
      </c>
      <c r="L269" s="30" t="s">
        <v>1563</v>
      </c>
      <c r="M269" s="30" t="s">
        <v>245</v>
      </c>
      <c r="N269" s="30" t="s">
        <v>245</v>
      </c>
      <c r="O269" s="30" t="s">
        <v>245</v>
      </c>
      <c r="P269" s="30" t="s">
        <v>245</v>
      </c>
      <c r="Q269" s="30" t="s">
        <v>245</v>
      </c>
      <c r="R269" s="30" t="s">
        <v>245</v>
      </c>
      <c r="S269" s="30" t="s">
        <v>245</v>
      </c>
      <c r="T269" s="30" t="s">
        <v>245</v>
      </c>
      <c r="U269" s="30" t="s">
        <v>245</v>
      </c>
      <c r="V269" s="30" t="s">
        <v>245</v>
      </c>
      <c r="W269" s="30" t="s">
        <v>245</v>
      </c>
      <c r="X269" s="30" t="s">
        <v>245</v>
      </c>
      <c r="Y269" s="30" t="s">
        <v>245</v>
      </c>
      <c r="Z269" s="30" t="s">
        <v>245</v>
      </c>
      <c r="AA269" s="30" t="s">
        <v>245</v>
      </c>
      <c r="AB269" s="30" t="s">
        <v>245</v>
      </c>
      <c r="AC269" s="30" t="s">
        <v>2337</v>
      </c>
      <c r="AD269" s="30" t="s">
        <v>2338</v>
      </c>
      <c r="AE269" s="30" t="s">
        <v>245</v>
      </c>
      <c r="AF269" s="30" t="s">
        <v>245</v>
      </c>
      <c r="AG269" s="30" t="s">
        <v>245</v>
      </c>
      <c r="AH269" s="30" t="s">
        <v>245</v>
      </c>
      <c r="AI269" s="30" t="s">
        <v>245</v>
      </c>
      <c r="AJ269" s="30" t="s">
        <v>245</v>
      </c>
      <c r="AK269" s="30" t="s">
        <v>245</v>
      </c>
      <c r="AL269" s="30" t="s">
        <v>245</v>
      </c>
      <c r="AM269" s="30" t="s">
        <v>245</v>
      </c>
      <c r="AN269" s="30" t="s">
        <v>245</v>
      </c>
      <c r="AO269" s="30" t="s">
        <v>245</v>
      </c>
      <c r="AP269" s="30" t="s">
        <v>245</v>
      </c>
      <c r="AQ269" s="30" t="s">
        <v>1564</v>
      </c>
      <c r="AR269" s="30" t="s">
        <v>1565</v>
      </c>
      <c r="AS269" s="30" t="s">
        <v>245</v>
      </c>
      <c r="AT269" s="30" t="s">
        <v>245</v>
      </c>
      <c r="AU269" s="30" t="s">
        <v>245</v>
      </c>
      <c r="AV269" s="30" t="s">
        <v>365</v>
      </c>
      <c r="AW269" s="30">
        <v>2012</v>
      </c>
      <c r="AX269" s="30">
        <v>223</v>
      </c>
      <c r="AY269" s="30">
        <v>2</v>
      </c>
      <c r="AZ269" s="30" t="s">
        <v>245</v>
      </c>
      <c r="BA269" s="30" t="s">
        <v>245</v>
      </c>
      <c r="BB269" s="30" t="s">
        <v>245</v>
      </c>
      <c r="BC269" s="30" t="s">
        <v>245</v>
      </c>
      <c r="BD269" s="30">
        <v>755</v>
      </c>
      <c r="BE269" s="30">
        <v>763</v>
      </c>
      <c r="BF269" s="30" t="s">
        <v>245</v>
      </c>
      <c r="BG269" s="30" t="s">
        <v>2339</v>
      </c>
      <c r="BH269" s="30" t="str">
        <f>HYPERLINK("http://dx.doi.org/10.1007/s11270-011-0899-1","http://dx.doi.org/10.1007/s11270-011-0899-1")</f>
        <v>http://dx.doi.org/10.1007/s11270-011-0899-1</v>
      </c>
      <c r="BI269" s="30" t="s">
        <v>245</v>
      </c>
      <c r="BJ269" s="30" t="s">
        <v>245</v>
      </c>
      <c r="BK269" s="30" t="s">
        <v>245</v>
      </c>
      <c r="BL269" s="30" t="s">
        <v>245</v>
      </c>
      <c r="BM269" s="30" t="s">
        <v>245</v>
      </c>
      <c r="BN269" s="30" t="s">
        <v>245</v>
      </c>
      <c r="BO269" s="30" t="s">
        <v>245</v>
      </c>
      <c r="BP269" s="30" t="s">
        <v>245</v>
      </c>
      <c r="BQ269" s="30" t="s">
        <v>245</v>
      </c>
      <c r="BR269" s="30" t="s">
        <v>245</v>
      </c>
      <c r="BS269" s="30" t="s">
        <v>245</v>
      </c>
      <c r="BT269" s="30" t="s">
        <v>245</v>
      </c>
      <c r="BU269" s="30" t="s">
        <v>2340</v>
      </c>
      <c r="BV269" s="30" t="str">
        <f>HYPERLINK("https%3A%2F%2Fwww.webofscience.com%2Fwos%2Fwoscc%2Ffull-record%2FWOS:000299137000023","View Full Record in Web of Science")</f>
        <v>View Full Record in Web of Science</v>
      </c>
    </row>
    <row r="270" spans="1:74" x14ac:dyDescent="0.2">
      <c r="A270" s="30" t="s">
        <v>243</v>
      </c>
      <c r="B270" s="30" t="s">
        <v>2341</v>
      </c>
      <c r="C270" s="30" t="s">
        <v>245</v>
      </c>
      <c r="D270" s="30" t="s">
        <v>245</v>
      </c>
      <c r="E270" s="30" t="s">
        <v>245</v>
      </c>
      <c r="F270" s="30" t="s">
        <v>2342</v>
      </c>
      <c r="G270" s="30" t="s">
        <v>245</v>
      </c>
      <c r="H270" s="30" t="s">
        <v>245</v>
      </c>
      <c r="I270" s="30" t="s">
        <v>2823</v>
      </c>
      <c r="K270" s="30" t="s">
        <v>2343</v>
      </c>
      <c r="L270" s="30" t="s">
        <v>1516</v>
      </c>
      <c r="M270" s="30" t="s">
        <v>245</v>
      </c>
      <c r="N270" s="30" t="s">
        <v>245</v>
      </c>
      <c r="O270" s="30" t="s">
        <v>245</v>
      </c>
      <c r="P270" s="30" t="s">
        <v>245</v>
      </c>
      <c r="Q270" s="30" t="s">
        <v>245</v>
      </c>
      <c r="R270" s="30" t="s">
        <v>245</v>
      </c>
      <c r="S270" s="30" t="s">
        <v>245</v>
      </c>
      <c r="T270" s="30" t="s">
        <v>245</v>
      </c>
      <c r="U270" s="30" t="s">
        <v>245</v>
      </c>
      <c r="V270" s="30" t="s">
        <v>245</v>
      </c>
      <c r="W270" s="30" t="s">
        <v>245</v>
      </c>
      <c r="X270" s="30" t="s">
        <v>245</v>
      </c>
      <c r="Y270" s="30" t="s">
        <v>245</v>
      </c>
      <c r="Z270" s="30" t="s">
        <v>245</v>
      </c>
      <c r="AA270" s="30" t="s">
        <v>245</v>
      </c>
      <c r="AB270" s="30" t="s">
        <v>245</v>
      </c>
      <c r="AC270" s="30" t="s">
        <v>2344</v>
      </c>
      <c r="AD270" s="30" t="s">
        <v>2345</v>
      </c>
      <c r="AE270" s="30" t="s">
        <v>245</v>
      </c>
      <c r="AF270" s="30" t="s">
        <v>245</v>
      </c>
      <c r="AG270" s="30" t="s">
        <v>245</v>
      </c>
      <c r="AH270" s="30" t="s">
        <v>245</v>
      </c>
      <c r="AI270" s="30" t="s">
        <v>245</v>
      </c>
      <c r="AJ270" s="30" t="s">
        <v>245</v>
      </c>
      <c r="AK270" s="30" t="s">
        <v>245</v>
      </c>
      <c r="AL270" s="30" t="s">
        <v>245</v>
      </c>
      <c r="AM270" s="30" t="s">
        <v>245</v>
      </c>
      <c r="AN270" s="30" t="s">
        <v>245</v>
      </c>
      <c r="AO270" s="30" t="s">
        <v>245</v>
      </c>
      <c r="AP270" s="30" t="s">
        <v>245</v>
      </c>
      <c r="AQ270" s="30" t="s">
        <v>1519</v>
      </c>
      <c r="AR270" s="30" t="s">
        <v>1520</v>
      </c>
      <c r="AS270" s="30" t="s">
        <v>245</v>
      </c>
      <c r="AT270" s="30" t="s">
        <v>245</v>
      </c>
      <c r="AU270" s="30" t="s">
        <v>245</v>
      </c>
      <c r="AV270" s="30" t="s">
        <v>2346</v>
      </c>
      <c r="AW270" s="30">
        <v>2022</v>
      </c>
      <c r="AX270" s="30">
        <v>19</v>
      </c>
      <c r="AY270" s="30">
        <v>23</v>
      </c>
      <c r="AZ270" s="30" t="s">
        <v>245</v>
      </c>
      <c r="BA270" s="30" t="s">
        <v>245</v>
      </c>
      <c r="BB270" s="30" t="s">
        <v>245</v>
      </c>
      <c r="BC270" s="30" t="s">
        <v>245</v>
      </c>
      <c r="BD270" s="30">
        <v>5483</v>
      </c>
      <c r="BE270" s="30">
        <v>5497</v>
      </c>
      <c r="BF270" s="30" t="s">
        <v>245</v>
      </c>
      <c r="BG270" s="30" t="s">
        <v>2347</v>
      </c>
      <c r="BH270" s="30" t="str">
        <f>HYPERLINK("http://dx.doi.org/10.5194/bg-19-5483-2022","http://dx.doi.org/10.5194/bg-19-5483-2022")</f>
        <v>http://dx.doi.org/10.5194/bg-19-5483-2022</v>
      </c>
      <c r="BI270" s="30" t="s">
        <v>245</v>
      </c>
      <c r="BJ270" s="30" t="s">
        <v>245</v>
      </c>
      <c r="BK270" s="30" t="s">
        <v>245</v>
      </c>
      <c r="BL270" s="30" t="s">
        <v>245</v>
      </c>
      <c r="BM270" s="30" t="s">
        <v>245</v>
      </c>
      <c r="BN270" s="30" t="s">
        <v>245</v>
      </c>
      <c r="BO270" s="30" t="s">
        <v>245</v>
      </c>
      <c r="BP270" s="30" t="s">
        <v>245</v>
      </c>
      <c r="BQ270" s="30" t="s">
        <v>245</v>
      </c>
      <c r="BR270" s="30" t="s">
        <v>245</v>
      </c>
      <c r="BS270" s="30" t="s">
        <v>245</v>
      </c>
      <c r="BT270" s="30" t="s">
        <v>245</v>
      </c>
      <c r="BU270" s="30" t="s">
        <v>2348</v>
      </c>
      <c r="BV270" s="30" t="str">
        <f>HYPERLINK("https%3A%2F%2Fwww.webofscience.com%2Fwos%2Fwoscc%2Ffull-record%2FWOS:000894502100001","View Full Record in Web of Science")</f>
        <v>View Full Record in Web of Science</v>
      </c>
    </row>
    <row r="271" spans="1:74" x14ac:dyDescent="0.2">
      <c r="A271" s="30" t="s">
        <v>243</v>
      </c>
      <c r="B271" s="30" t="s">
        <v>2349</v>
      </c>
      <c r="C271" s="30" t="s">
        <v>245</v>
      </c>
      <c r="D271" s="30" t="s">
        <v>245</v>
      </c>
      <c r="E271" s="30" t="s">
        <v>245</v>
      </c>
      <c r="F271" s="30" t="s">
        <v>2350</v>
      </c>
      <c r="G271" s="30" t="s">
        <v>245</v>
      </c>
      <c r="H271" s="30" t="s">
        <v>245</v>
      </c>
      <c r="I271" s="30" t="s">
        <v>2822</v>
      </c>
      <c r="K271" s="30" t="s">
        <v>2351</v>
      </c>
      <c r="L271" s="30" t="s">
        <v>1516</v>
      </c>
      <c r="M271" s="30" t="s">
        <v>245</v>
      </c>
      <c r="N271" s="30" t="s">
        <v>245</v>
      </c>
      <c r="O271" s="30" t="s">
        <v>245</v>
      </c>
      <c r="P271" s="30" t="s">
        <v>245</v>
      </c>
      <c r="Q271" s="30" t="s">
        <v>245</v>
      </c>
      <c r="R271" s="30" t="s">
        <v>245</v>
      </c>
      <c r="S271" s="30" t="s">
        <v>245</v>
      </c>
      <c r="T271" s="30" t="s">
        <v>245</v>
      </c>
      <c r="U271" s="30" t="s">
        <v>245</v>
      </c>
      <c r="V271" s="30" t="s">
        <v>245</v>
      </c>
      <c r="W271" s="30" t="s">
        <v>245</v>
      </c>
      <c r="X271" s="30" t="s">
        <v>245</v>
      </c>
      <c r="Y271" s="30" t="s">
        <v>245</v>
      </c>
      <c r="Z271" s="30" t="s">
        <v>245</v>
      </c>
      <c r="AA271" s="30" t="s">
        <v>245</v>
      </c>
      <c r="AB271" s="30" t="s">
        <v>245</v>
      </c>
      <c r="AC271" s="30" t="s">
        <v>2352</v>
      </c>
      <c r="AD271" s="30" t="s">
        <v>2353</v>
      </c>
      <c r="AE271" s="30" t="s">
        <v>245</v>
      </c>
      <c r="AF271" s="30" t="s">
        <v>245</v>
      </c>
      <c r="AG271" s="30" t="s">
        <v>245</v>
      </c>
      <c r="AH271" s="30" t="s">
        <v>245</v>
      </c>
      <c r="AI271" s="30" t="s">
        <v>245</v>
      </c>
      <c r="AJ271" s="30" t="s">
        <v>245</v>
      </c>
      <c r="AK271" s="30" t="s">
        <v>245</v>
      </c>
      <c r="AL271" s="30" t="s">
        <v>245</v>
      </c>
      <c r="AM271" s="30" t="s">
        <v>245</v>
      </c>
      <c r="AN271" s="30" t="s">
        <v>245</v>
      </c>
      <c r="AO271" s="30" t="s">
        <v>245</v>
      </c>
      <c r="AP271" s="30" t="s">
        <v>245</v>
      </c>
      <c r="AQ271" s="30" t="s">
        <v>1519</v>
      </c>
      <c r="AR271" s="30" t="s">
        <v>1520</v>
      </c>
      <c r="AS271" s="30" t="s">
        <v>245</v>
      </c>
      <c r="AT271" s="30" t="s">
        <v>245</v>
      </c>
      <c r="AU271" s="30" t="s">
        <v>245</v>
      </c>
      <c r="AV271" s="30" t="s">
        <v>245</v>
      </c>
      <c r="AW271" s="30">
        <v>2012</v>
      </c>
      <c r="AX271" s="30">
        <v>9</v>
      </c>
      <c r="AY271" s="30">
        <v>1</v>
      </c>
      <c r="AZ271" s="30" t="s">
        <v>245</v>
      </c>
      <c r="BA271" s="30" t="s">
        <v>245</v>
      </c>
      <c r="BB271" s="30" t="s">
        <v>245</v>
      </c>
      <c r="BC271" s="30" t="s">
        <v>245</v>
      </c>
      <c r="BD271" s="30">
        <v>403</v>
      </c>
      <c r="BE271" s="30">
        <v>422</v>
      </c>
      <c r="BF271" s="30" t="s">
        <v>245</v>
      </c>
      <c r="BG271" s="30" t="s">
        <v>2354</v>
      </c>
      <c r="BH271" s="30" t="str">
        <f>HYPERLINK("http://dx.doi.org/10.5194/bg-9-403-2012","http://dx.doi.org/10.5194/bg-9-403-2012")</f>
        <v>http://dx.doi.org/10.5194/bg-9-403-2012</v>
      </c>
      <c r="BI271" s="30" t="s">
        <v>245</v>
      </c>
      <c r="BJ271" s="30" t="s">
        <v>245</v>
      </c>
      <c r="BK271" s="30" t="s">
        <v>245</v>
      </c>
      <c r="BL271" s="30" t="s">
        <v>245</v>
      </c>
      <c r="BM271" s="30" t="s">
        <v>245</v>
      </c>
      <c r="BN271" s="30" t="s">
        <v>245</v>
      </c>
      <c r="BO271" s="30" t="s">
        <v>245</v>
      </c>
      <c r="BP271" s="30" t="s">
        <v>245</v>
      </c>
      <c r="BQ271" s="30" t="s">
        <v>245</v>
      </c>
      <c r="BR271" s="30" t="s">
        <v>245</v>
      </c>
      <c r="BS271" s="30" t="s">
        <v>245</v>
      </c>
      <c r="BT271" s="30" t="s">
        <v>245</v>
      </c>
      <c r="BU271" s="30" t="s">
        <v>2355</v>
      </c>
      <c r="BV271" s="30" t="str">
        <f>HYPERLINK("https%3A%2F%2Fwww.webofscience.com%2Fwos%2Fwoscc%2Ffull-record%2FWOS:000300229000028","View Full Record in Web of Science")</f>
        <v>View Full Record in Web of Science</v>
      </c>
    </row>
    <row r="272" spans="1:74" x14ac:dyDescent="0.2">
      <c r="A272" s="30" t="s">
        <v>243</v>
      </c>
      <c r="B272" s="30" t="s">
        <v>2356</v>
      </c>
      <c r="C272" s="30" t="s">
        <v>245</v>
      </c>
      <c r="D272" s="30" t="s">
        <v>245</v>
      </c>
      <c r="E272" s="30" t="s">
        <v>245</v>
      </c>
      <c r="F272" s="30" t="s">
        <v>2357</v>
      </c>
      <c r="G272" s="30" t="s">
        <v>245</v>
      </c>
      <c r="H272" s="30" t="s">
        <v>245</v>
      </c>
      <c r="I272" s="30" t="s">
        <v>2826</v>
      </c>
      <c r="K272" s="30" t="s">
        <v>2358</v>
      </c>
      <c r="L272" s="30" t="s">
        <v>2359</v>
      </c>
      <c r="M272" s="30" t="s">
        <v>245</v>
      </c>
      <c r="N272" s="30" t="s">
        <v>245</v>
      </c>
      <c r="O272" s="30" t="s">
        <v>245</v>
      </c>
      <c r="P272" s="30" t="s">
        <v>245</v>
      </c>
      <c r="Q272" s="30" t="s">
        <v>245</v>
      </c>
      <c r="R272" s="30" t="s">
        <v>245</v>
      </c>
      <c r="S272" s="30" t="s">
        <v>245</v>
      </c>
      <c r="T272" s="30" t="s">
        <v>245</v>
      </c>
      <c r="U272" s="30" t="s">
        <v>245</v>
      </c>
      <c r="V272" s="30" t="s">
        <v>245</v>
      </c>
      <c r="W272" s="30" t="s">
        <v>245</v>
      </c>
      <c r="X272" s="30" t="s">
        <v>245</v>
      </c>
      <c r="Y272" s="30" t="s">
        <v>245</v>
      </c>
      <c r="Z272" s="30" t="s">
        <v>245</v>
      </c>
      <c r="AA272" s="30" t="s">
        <v>245</v>
      </c>
      <c r="AB272" s="30" t="s">
        <v>245</v>
      </c>
      <c r="AC272" s="30" t="s">
        <v>245</v>
      </c>
      <c r="AD272" s="30" t="s">
        <v>245</v>
      </c>
      <c r="AE272" s="30" t="s">
        <v>245</v>
      </c>
      <c r="AF272" s="30" t="s">
        <v>245</v>
      </c>
      <c r="AG272" s="30" t="s">
        <v>245</v>
      </c>
      <c r="AH272" s="30" t="s">
        <v>245</v>
      </c>
      <c r="AI272" s="30" t="s">
        <v>245</v>
      </c>
      <c r="AJ272" s="30" t="s">
        <v>245</v>
      </c>
      <c r="AK272" s="30" t="s">
        <v>245</v>
      </c>
      <c r="AL272" s="30" t="s">
        <v>245</v>
      </c>
      <c r="AM272" s="30" t="s">
        <v>245</v>
      </c>
      <c r="AN272" s="30" t="s">
        <v>245</v>
      </c>
      <c r="AO272" s="30" t="s">
        <v>245</v>
      </c>
      <c r="AP272" s="30" t="s">
        <v>245</v>
      </c>
      <c r="AQ272" s="30" t="s">
        <v>2360</v>
      </c>
      <c r="AR272" s="30" t="s">
        <v>245</v>
      </c>
      <c r="AS272" s="30" t="s">
        <v>245</v>
      </c>
      <c r="AT272" s="30" t="s">
        <v>245</v>
      </c>
      <c r="AU272" s="30" t="s">
        <v>245</v>
      </c>
      <c r="AV272" s="30" t="s">
        <v>487</v>
      </c>
      <c r="AW272" s="30">
        <v>2021</v>
      </c>
      <c r="AX272" s="30">
        <v>3</v>
      </c>
      <c r="AY272" s="30" t="s">
        <v>245</v>
      </c>
      <c r="AZ272" s="30" t="s">
        <v>245</v>
      </c>
      <c r="BA272" s="30" t="s">
        <v>245</v>
      </c>
      <c r="BB272" s="30" t="s">
        <v>245</v>
      </c>
      <c r="BC272" s="30" t="s">
        <v>245</v>
      </c>
      <c r="BD272" s="30" t="s">
        <v>245</v>
      </c>
      <c r="BE272" s="30" t="s">
        <v>245</v>
      </c>
      <c r="BF272" s="30">
        <v>100096</v>
      </c>
      <c r="BG272" s="30" t="s">
        <v>2361</v>
      </c>
      <c r="BH272" s="30" t="str">
        <f>HYPERLINK("http://dx.doi.org/10.1016/j.jafr.2020.100096","http://dx.doi.org/10.1016/j.jafr.2020.100096")</f>
        <v>http://dx.doi.org/10.1016/j.jafr.2020.100096</v>
      </c>
      <c r="BI272" s="30" t="s">
        <v>245</v>
      </c>
      <c r="BJ272" s="30" t="s">
        <v>245</v>
      </c>
      <c r="BK272" s="30" t="s">
        <v>245</v>
      </c>
      <c r="BL272" s="30" t="s">
        <v>245</v>
      </c>
      <c r="BM272" s="30" t="s">
        <v>245</v>
      </c>
      <c r="BN272" s="30" t="s">
        <v>245</v>
      </c>
      <c r="BO272" s="30" t="s">
        <v>245</v>
      </c>
      <c r="BP272" s="30" t="s">
        <v>245</v>
      </c>
      <c r="BQ272" s="30" t="s">
        <v>245</v>
      </c>
      <c r="BR272" s="30" t="s">
        <v>245</v>
      </c>
      <c r="BS272" s="30" t="s">
        <v>245</v>
      </c>
      <c r="BT272" s="30" t="s">
        <v>245</v>
      </c>
      <c r="BU272" s="30" t="s">
        <v>2362</v>
      </c>
      <c r="BV272" s="30" t="str">
        <f>HYPERLINK("https%3A%2F%2Fwww.webofscience.com%2Fwos%2Fwoscc%2Ffull-record%2FWOS:000696062500005","View Full Record in Web of Science")</f>
        <v>View Full Record in Web of Science</v>
      </c>
    </row>
    <row r="273" spans="1:74" x14ac:dyDescent="0.2">
      <c r="A273" s="30" t="s">
        <v>243</v>
      </c>
      <c r="B273" s="30" t="s">
        <v>2363</v>
      </c>
      <c r="C273" s="30" t="s">
        <v>245</v>
      </c>
      <c r="D273" s="30" t="s">
        <v>245</v>
      </c>
      <c r="E273" s="30" t="s">
        <v>245</v>
      </c>
      <c r="F273" s="30" t="s">
        <v>2364</v>
      </c>
      <c r="G273" s="30" t="s">
        <v>245</v>
      </c>
      <c r="H273" s="30" t="s">
        <v>245</v>
      </c>
      <c r="J273" s="30" t="s">
        <v>2833</v>
      </c>
      <c r="K273" s="30" t="s">
        <v>2365</v>
      </c>
      <c r="L273" s="30" t="s">
        <v>541</v>
      </c>
      <c r="M273" s="30" t="s">
        <v>245</v>
      </c>
      <c r="N273" s="30" t="s">
        <v>245</v>
      </c>
      <c r="O273" s="30" t="s">
        <v>245</v>
      </c>
      <c r="P273" s="30" t="s">
        <v>245</v>
      </c>
      <c r="Q273" s="30" t="s">
        <v>245</v>
      </c>
      <c r="R273" s="30" t="s">
        <v>245</v>
      </c>
      <c r="S273" s="30" t="s">
        <v>245</v>
      </c>
      <c r="T273" s="30" t="s">
        <v>245</v>
      </c>
      <c r="U273" s="30" t="s">
        <v>245</v>
      </c>
      <c r="V273" s="30" t="s">
        <v>245</v>
      </c>
      <c r="W273" s="30" t="s">
        <v>245</v>
      </c>
      <c r="X273" s="30" t="s">
        <v>245</v>
      </c>
      <c r="Y273" s="30" t="s">
        <v>245</v>
      </c>
      <c r="Z273" s="30" t="s">
        <v>245</v>
      </c>
      <c r="AA273" s="30" t="s">
        <v>245</v>
      </c>
      <c r="AB273" s="30" t="s">
        <v>245</v>
      </c>
      <c r="AC273" s="30" t="s">
        <v>2366</v>
      </c>
      <c r="AD273" s="30" t="s">
        <v>2367</v>
      </c>
      <c r="AE273" s="30" t="s">
        <v>245</v>
      </c>
      <c r="AF273" s="30" t="s">
        <v>245</v>
      </c>
      <c r="AG273" s="30" t="s">
        <v>245</v>
      </c>
      <c r="AH273" s="30" t="s">
        <v>245</v>
      </c>
      <c r="AI273" s="30" t="s">
        <v>245</v>
      </c>
      <c r="AJ273" s="30" t="s">
        <v>245</v>
      </c>
      <c r="AK273" s="30" t="s">
        <v>245</v>
      </c>
      <c r="AL273" s="30" t="s">
        <v>245</v>
      </c>
      <c r="AM273" s="30" t="s">
        <v>245</v>
      </c>
      <c r="AN273" s="30" t="s">
        <v>245</v>
      </c>
      <c r="AO273" s="30" t="s">
        <v>245</v>
      </c>
      <c r="AP273" s="30" t="s">
        <v>245</v>
      </c>
      <c r="AQ273" s="30" t="s">
        <v>544</v>
      </c>
      <c r="AR273" s="30" t="s">
        <v>545</v>
      </c>
      <c r="AS273" s="30" t="s">
        <v>245</v>
      </c>
      <c r="AT273" s="30" t="s">
        <v>245</v>
      </c>
      <c r="AU273" s="30" t="s">
        <v>245</v>
      </c>
      <c r="AV273" s="30" t="s">
        <v>957</v>
      </c>
      <c r="AW273" s="30">
        <v>2015</v>
      </c>
      <c r="AX273" s="30">
        <v>209</v>
      </c>
      <c r="AY273" s="30" t="s">
        <v>245</v>
      </c>
      <c r="AZ273" s="30" t="s">
        <v>245</v>
      </c>
      <c r="BA273" s="30" t="s">
        <v>245</v>
      </c>
      <c r="BB273" s="30" t="s">
        <v>298</v>
      </c>
      <c r="BC273" s="30" t="s">
        <v>245</v>
      </c>
      <c r="BD273" s="30">
        <v>108</v>
      </c>
      <c r="BE273" s="30">
        <v>124</v>
      </c>
      <c r="BF273" s="30" t="s">
        <v>245</v>
      </c>
      <c r="BG273" s="30" t="s">
        <v>2368</v>
      </c>
      <c r="BH273" s="30" t="str">
        <f>HYPERLINK("http://dx.doi.org/10.1016/j.agee.2015.04.035","http://dx.doi.org/10.1016/j.agee.2015.04.035")</f>
        <v>http://dx.doi.org/10.1016/j.agee.2015.04.035</v>
      </c>
      <c r="BI273" s="30" t="s">
        <v>245</v>
      </c>
      <c r="BJ273" s="30" t="s">
        <v>245</v>
      </c>
      <c r="BK273" s="30" t="s">
        <v>245</v>
      </c>
      <c r="BL273" s="30" t="s">
        <v>245</v>
      </c>
      <c r="BM273" s="30" t="s">
        <v>245</v>
      </c>
      <c r="BN273" s="30" t="s">
        <v>245</v>
      </c>
      <c r="BO273" s="30" t="s">
        <v>245</v>
      </c>
      <c r="BP273" s="30" t="s">
        <v>245</v>
      </c>
      <c r="BQ273" s="30" t="s">
        <v>245</v>
      </c>
      <c r="BR273" s="30" t="s">
        <v>245</v>
      </c>
      <c r="BS273" s="30" t="s">
        <v>245</v>
      </c>
      <c r="BT273" s="30" t="s">
        <v>245</v>
      </c>
      <c r="BU273" s="30" t="s">
        <v>2369</v>
      </c>
      <c r="BV273" s="30" t="str">
        <f>HYPERLINK("https%3A%2F%2Fwww.webofscience.com%2Fwos%2Fwoscc%2Ffull-record%2FWOS:000358463000011","View Full Record in Web of Science")</f>
        <v>View Full Record in Web of Science</v>
      </c>
    </row>
    <row r="274" spans="1:74" x14ac:dyDescent="0.2">
      <c r="A274" s="30" t="s">
        <v>243</v>
      </c>
      <c r="B274" s="30" t="s">
        <v>2370</v>
      </c>
      <c r="C274" s="30" t="s">
        <v>245</v>
      </c>
      <c r="D274" s="30" t="s">
        <v>245</v>
      </c>
      <c r="E274" s="30" t="s">
        <v>245</v>
      </c>
      <c r="F274" s="30" t="s">
        <v>2371</v>
      </c>
      <c r="G274" s="30" t="s">
        <v>245</v>
      </c>
      <c r="H274" s="30" t="s">
        <v>245</v>
      </c>
      <c r="I274" s="30" t="s">
        <v>2823</v>
      </c>
      <c r="K274" s="30" t="s">
        <v>2372</v>
      </c>
      <c r="L274" s="30" t="s">
        <v>413</v>
      </c>
      <c r="M274" s="30" t="s">
        <v>245</v>
      </c>
      <c r="N274" s="30" t="s">
        <v>245</v>
      </c>
      <c r="O274" s="30" t="s">
        <v>245</v>
      </c>
      <c r="P274" s="30" t="s">
        <v>245</v>
      </c>
      <c r="Q274" s="30" t="s">
        <v>245</v>
      </c>
      <c r="R274" s="30" t="s">
        <v>245</v>
      </c>
      <c r="S274" s="30" t="s">
        <v>245</v>
      </c>
      <c r="T274" s="30" t="s">
        <v>245</v>
      </c>
      <c r="U274" s="30" t="s">
        <v>245</v>
      </c>
      <c r="V274" s="30" t="s">
        <v>245</v>
      </c>
      <c r="W274" s="30" t="s">
        <v>245</v>
      </c>
      <c r="X274" s="30" t="s">
        <v>245</v>
      </c>
      <c r="Y274" s="30" t="s">
        <v>245</v>
      </c>
      <c r="Z274" s="30" t="s">
        <v>245</v>
      </c>
      <c r="AA274" s="30" t="s">
        <v>245</v>
      </c>
      <c r="AB274" s="30" t="s">
        <v>245</v>
      </c>
      <c r="AC274" s="30" t="s">
        <v>2373</v>
      </c>
      <c r="AD274" s="30" t="s">
        <v>2374</v>
      </c>
      <c r="AE274" s="30" t="s">
        <v>245</v>
      </c>
      <c r="AF274" s="30" t="s">
        <v>245</v>
      </c>
      <c r="AG274" s="30" t="s">
        <v>245</v>
      </c>
      <c r="AH274" s="30" t="s">
        <v>245</v>
      </c>
      <c r="AI274" s="30" t="s">
        <v>245</v>
      </c>
      <c r="AJ274" s="30" t="s">
        <v>245</v>
      </c>
      <c r="AK274" s="30" t="s">
        <v>245</v>
      </c>
      <c r="AL274" s="30" t="s">
        <v>245</v>
      </c>
      <c r="AM274" s="30" t="s">
        <v>245</v>
      </c>
      <c r="AN274" s="30" t="s">
        <v>245</v>
      </c>
      <c r="AO274" s="30" t="s">
        <v>245</v>
      </c>
      <c r="AP274" s="30" t="s">
        <v>245</v>
      </c>
      <c r="AQ274" s="30" t="s">
        <v>416</v>
      </c>
      <c r="AR274" s="30" t="s">
        <v>417</v>
      </c>
      <c r="AS274" s="30" t="s">
        <v>245</v>
      </c>
      <c r="AT274" s="30" t="s">
        <v>245</v>
      </c>
      <c r="AU274" s="30" t="s">
        <v>245</v>
      </c>
      <c r="AV274" s="30" t="s">
        <v>1105</v>
      </c>
      <c r="AW274" s="30">
        <v>2016</v>
      </c>
      <c r="AX274" s="30">
        <v>542</v>
      </c>
      <c r="AY274" s="30" t="s">
        <v>245</v>
      </c>
      <c r="AZ274" s="30" t="s">
        <v>2375</v>
      </c>
      <c r="BA274" s="30" t="s">
        <v>245</v>
      </c>
      <c r="BB274" s="30" t="s">
        <v>245</v>
      </c>
      <c r="BC274" s="30" t="s">
        <v>245</v>
      </c>
      <c r="BD274" s="30">
        <v>453</v>
      </c>
      <c r="BE274" s="30">
        <v>468</v>
      </c>
      <c r="BF274" s="30" t="s">
        <v>245</v>
      </c>
      <c r="BG274" s="30" t="s">
        <v>2376</v>
      </c>
      <c r="BH274" s="30" t="str">
        <f>HYPERLINK("http://dx.doi.org/10.1016/j.scitotenv.2015.10.070","http://dx.doi.org/10.1016/j.scitotenv.2015.10.070")</f>
        <v>http://dx.doi.org/10.1016/j.scitotenv.2015.10.070</v>
      </c>
      <c r="BI274" s="30" t="s">
        <v>245</v>
      </c>
      <c r="BJ274" s="30" t="s">
        <v>245</v>
      </c>
      <c r="BK274" s="30" t="s">
        <v>245</v>
      </c>
      <c r="BL274" s="30" t="s">
        <v>245</v>
      </c>
      <c r="BM274" s="30" t="s">
        <v>245</v>
      </c>
      <c r="BN274" s="30" t="s">
        <v>245</v>
      </c>
      <c r="BO274" s="30" t="s">
        <v>245</v>
      </c>
      <c r="BP274" s="30">
        <v>26520269</v>
      </c>
      <c r="BQ274" s="30" t="s">
        <v>245</v>
      </c>
      <c r="BR274" s="30" t="s">
        <v>245</v>
      </c>
      <c r="BS274" s="30" t="s">
        <v>245</v>
      </c>
      <c r="BT274" s="30" t="s">
        <v>245</v>
      </c>
      <c r="BU274" s="30" t="s">
        <v>2377</v>
      </c>
      <c r="BV274" s="30" t="str">
        <f>HYPERLINK("https%3A%2F%2Fwww.webofscience.com%2Fwos%2Fwoscc%2Ffull-record%2FWOS:000365602100047","View Full Record in Web of Science")</f>
        <v>View Full Record in Web of Science</v>
      </c>
    </row>
    <row r="275" spans="1:74" x14ac:dyDescent="0.2">
      <c r="A275" s="30" t="s">
        <v>243</v>
      </c>
      <c r="B275" s="30" t="s">
        <v>2378</v>
      </c>
      <c r="C275" s="30" t="s">
        <v>245</v>
      </c>
      <c r="D275" s="30" t="s">
        <v>245</v>
      </c>
      <c r="E275" s="30" t="s">
        <v>245</v>
      </c>
      <c r="F275" s="30" t="s">
        <v>2379</v>
      </c>
      <c r="G275" s="30" t="s">
        <v>245</v>
      </c>
      <c r="H275" s="30" t="s">
        <v>245</v>
      </c>
      <c r="I275" s="30" t="s">
        <v>2821</v>
      </c>
      <c r="K275" s="30" t="s">
        <v>2380</v>
      </c>
      <c r="L275" s="30" t="s">
        <v>413</v>
      </c>
      <c r="M275" s="30" t="s">
        <v>245</v>
      </c>
      <c r="N275" s="30" t="s">
        <v>245</v>
      </c>
      <c r="O275" s="30" t="s">
        <v>245</v>
      </c>
      <c r="P275" s="30" t="s">
        <v>245</v>
      </c>
      <c r="Q275" s="30" t="s">
        <v>245</v>
      </c>
      <c r="R275" s="30" t="s">
        <v>245</v>
      </c>
      <c r="S275" s="30" t="s">
        <v>245</v>
      </c>
      <c r="T275" s="30" t="s">
        <v>245</v>
      </c>
      <c r="U275" s="30" t="s">
        <v>245</v>
      </c>
      <c r="V275" s="30" t="s">
        <v>245</v>
      </c>
      <c r="W275" s="30" t="s">
        <v>245</v>
      </c>
      <c r="X275" s="30" t="s">
        <v>245</v>
      </c>
      <c r="Y275" s="30" t="s">
        <v>245</v>
      </c>
      <c r="Z275" s="30" t="s">
        <v>245</v>
      </c>
      <c r="AA275" s="30" t="s">
        <v>245</v>
      </c>
      <c r="AB275" s="30" t="s">
        <v>245</v>
      </c>
      <c r="AC275" s="30" t="s">
        <v>2381</v>
      </c>
      <c r="AD275" s="30" t="s">
        <v>2382</v>
      </c>
      <c r="AE275" s="30" t="s">
        <v>245</v>
      </c>
      <c r="AF275" s="30" t="s">
        <v>245</v>
      </c>
      <c r="AG275" s="30" t="s">
        <v>245</v>
      </c>
      <c r="AH275" s="30" t="s">
        <v>245</v>
      </c>
      <c r="AI275" s="30" t="s">
        <v>245</v>
      </c>
      <c r="AJ275" s="30" t="s">
        <v>245</v>
      </c>
      <c r="AK275" s="30" t="s">
        <v>245</v>
      </c>
      <c r="AL275" s="30" t="s">
        <v>245</v>
      </c>
      <c r="AM275" s="30" t="s">
        <v>245</v>
      </c>
      <c r="AN275" s="30" t="s">
        <v>245</v>
      </c>
      <c r="AO275" s="30" t="s">
        <v>245</v>
      </c>
      <c r="AP275" s="30" t="s">
        <v>245</v>
      </c>
      <c r="AQ275" s="30" t="s">
        <v>416</v>
      </c>
      <c r="AR275" s="30" t="s">
        <v>417</v>
      </c>
      <c r="AS275" s="30" t="s">
        <v>245</v>
      </c>
      <c r="AT275" s="30" t="s">
        <v>245</v>
      </c>
      <c r="AU275" s="30" t="s">
        <v>245</v>
      </c>
      <c r="AV275" s="30" t="s">
        <v>957</v>
      </c>
      <c r="AW275" s="30">
        <v>2016</v>
      </c>
      <c r="AX275" s="30">
        <v>569</v>
      </c>
      <c r="AY275" s="30" t="s">
        <v>245</v>
      </c>
      <c r="AZ275" s="30" t="s">
        <v>245</v>
      </c>
      <c r="BA275" s="30" t="s">
        <v>245</v>
      </c>
      <c r="BB275" s="30" t="s">
        <v>245</v>
      </c>
      <c r="BC275" s="30" t="s">
        <v>245</v>
      </c>
      <c r="BD275" s="30">
        <v>306</v>
      </c>
      <c r="BE275" s="30">
        <v>320</v>
      </c>
      <c r="BF275" s="30" t="s">
        <v>245</v>
      </c>
      <c r="BG275" s="30" t="s">
        <v>2383</v>
      </c>
      <c r="BH275" s="30" t="str">
        <f>HYPERLINK("http://dx.doi.org/10.1016/j.scitotenv.2016.06.040","http://dx.doi.org/10.1016/j.scitotenv.2016.06.040")</f>
        <v>http://dx.doi.org/10.1016/j.scitotenv.2016.06.040</v>
      </c>
      <c r="BI275" s="30" t="s">
        <v>245</v>
      </c>
      <c r="BJ275" s="30" t="s">
        <v>245</v>
      </c>
      <c r="BK275" s="30" t="s">
        <v>245</v>
      </c>
      <c r="BL275" s="30" t="s">
        <v>245</v>
      </c>
      <c r="BM275" s="30" t="s">
        <v>245</v>
      </c>
      <c r="BN275" s="30" t="s">
        <v>245</v>
      </c>
      <c r="BO275" s="30" t="s">
        <v>245</v>
      </c>
      <c r="BP275" s="30">
        <v>27344120</v>
      </c>
      <c r="BQ275" s="30" t="s">
        <v>245</v>
      </c>
      <c r="BR275" s="30" t="s">
        <v>245</v>
      </c>
      <c r="BS275" s="30" t="s">
        <v>245</v>
      </c>
      <c r="BT275" s="30" t="s">
        <v>245</v>
      </c>
      <c r="BU275" s="30" t="s">
        <v>2384</v>
      </c>
      <c r="BV275" s="30" t="str">
        <f>HYPERLINK("https%3A%2F%2Fwww.webofscience.com%2Fwos%2Fwoscc%2Ffull-record%2FWOS:000382269000033","View Full Record in Web of Science")</f>
        <v>View Full Record in Web of Science</v>
      </c>
    </row>
    <row r="276" spans="1:74" x14ac:dyDescent="0.2">
      <c r="A276" s="30" t="s">
        <v>243</v>
      </c>
      <c r="B276" s="30" t="s">
        <v>2385</v>
      </c>
      <c r="C276" s="30" t="s">
        <v>245</v>
      </c>
      <c r="D276" s="30" t="s">
        <v>245</v>
      </c>
      <c r="E276" s="30" t="s">
        <v>245</v>
      </c>
      <c r="F276" s="30" t="s">
        <v>2386</v>
      </c>
      <c r="G276" s="30" t="s">
        <v>245</v>
      </c>
      <c r="H276" s="30" t="s">
        <v>245</v>
      </c>
      <c r="I276" s="30" t="s">
        <v>2826</v>
      </c>
      <c r="K276" s="30" t="s">
        <v>2387</v>
      </c>
      <c r="L276" s="30" t="s">
        <v>271</v>
      </c>
      <c r="M276" s="30" t="s">
        <v>245</v>
      </c>
      <c r="N276" s="30" t="s">
        <v>245</v>
      </c>
      <c r="O276" s="30" t="s">
        <v>245</v>
      </c>
      <c r="P276" s="30" t="s">
        <v>245</v>
      </c>
      <c r="Q276" s="30" t="s">
        <v>245</v>
      </c>
      <c r="R276" s="30" t="s">
        <v>245</v>
      </c>
      <c r="S276" s="30" t="s">
        <v>245</v>
      </c>
      <c r="T276" s="30" t="s">
        <v>245</v>
      </c>
      <c r="U276" s="30" t="s">
        <v>245</v>
      </c>
      <c r="V276" s="30" t="s">
        <v>245</v>
      </c>
      <c r="W276" s="30" t="s">
        <v>245</v>
      </c>
      <c r="X276" s="30" t="s">
        <v>245</v>
      </c>
      <c r="Y276" s="30" t="s">
        <v>245</v>
      </c>
      <c r="Z276" s="30" t="s">
        <v>245</v>
      </c>
      <c r="AA276" s="30" t="s">
        <v>245</v>
      </c>
      <c r="AB276" s="30" t="s">
        <v>245</v>
      </c>
      <c r="AC276" s="30" t="s">
        <v>2388</v>
      </c>
      <c r="AD276" s="30" t="s">
        <v>245</v>
      </c>
      <c r="AE276" s="30" t="s">
        <v>245</v>
      </c>
      <c r="AF276" s="30" t="s">
        <v>245</v>
      </c>
      <c r="AG276" s="30" t="s">
        <v>245</v>
      </c>
      <c r="AH276" s="30" t="s">
        <v>245</v>
      </c>
      <c r="AI276" s="30" t="s">
        <v>245</v>
      </c>
      <c r="AJ276" s="30" t="s">
        <v>245</v>
      </c>
      <c r="AK276" s="30" t="s">
        <v>245</v>
      </c>
      <c r="AL276" s="30" t="s">
        <v>245</v>
      </c>
      <c r="AM276" s="30" t="s">
        <v>245</v>
      </c>
      <c r="AN276" s="30" t="s">
        <v>245</v>
      </c>
      <c r="AO276" s="30" t="s">
        <v>245</v>
      </c>
      <c r="AP276" s="30" t="s">
        <v>245</v>
      </c>
      <c r="AQ276" s="30" t="s">
        <v>274</v>
      </c>
      <c r="AR276" s="30" t="s">
        <v>275</v>
      </c>
      <c r="AS276" s="30" t="s">
        <v>245</v>
      </c>
      <c r="AT276" s="30" t="s">
        <v>245</v>
      </c>
      <c r="AU276" s="30" t="s">
        <v>245</v>
      </c>
      <c r="AV276" s="30" t="s">
        <v>2389</v>
      </c>
      <c r="AW276" s="30">
        <v>2013</v>
      </c>
      <c r="AX276" s="30">
        <v>47</v>
      </c>
      <c r="AY276" s="30">
        <v>12</v>
      </c>
      <c r="AZ276" s="30" t="s">
        <v>245</v>
      </c>
      <c r="BA276" s="30" t="s">
        <v>245</v>
      </c>
      <c r="BB276" s="30" t="s">
        <v>245</v>
      </c>
      <c r="BC276" s="30" t="s">
        <v>245</v>
      </c>
      <c r="BD276" s="30">
        <v>6206</v>
      </c>
      <c r="BE276" s="30">
        <v>6213</v>
      </c>
      <c r="BF276" s="30" t="s">
        <v>245</v>
      </c>
      <c r="BG276" s="30" t="s">
        <v>2390</v>
      </c>
      <c r="BH276" s="30" t="str">
        <f>HYPERLINK("http://dx.doi.org/10.1021/es304011w","http://dx.doi.org/10.1021/es304011w")</f>
        <v>http://dx.doi.org/10.1021/es304011w</v>
      </c>
      <c r="BI276" s="30" t="s">
        <v>245</v>
      </c>
      <c r="BJ276" s="30" t="s">
        <v>245</v>
      </c>
      <c r="BK276" s="30" t="s">
        <v>245</v>
      </c>
      <c r="BL276" s="30" t="s">
        <v>245</v>
      </c>
      <c r="BM276" s="30" t="s">
        <v>245</v>
      </c>
      <c r="BN276" s="30" t="s">
        <v>245</v>
      </c>
      <c r="BO276" s="30" t="s">
        <v>245</v>
      </c>
      <c r="BP276" s="30">
        <v>23662623</v>
      </c>
      <c r="BQ276" s="30" t="s">
        <v>245</v>
      </c>
      <c r="BR276" s="30" t="s">
        <v>245</v>
      </c>
      <c r="BS276" s="30" t="s">
        <v>245</v>
      </c>
      <c r="BT276" s="30" t="s">
        <v>245</v>
      </c>
      <c r="BU276" s="30" t="s">
        <v>2391</v>
      </c>
      <c r="BV276" s="30" t="str">
        <f>HYPERLINK("https%3A%2F%2Fwww.webofscience.com%2Fwos%2Fwoscc%2Ffull-record%2FWOS:000320749000018","View Full Record in Web of Science")</f>
        <v>View Full Record in Web of Science</v>
      </c>
    </row>
    <row r="277" spans="1:74" x14ac:dyDescent="0.2">
      <c r="A277" s="30" t="s">
        <v>243</v>
      </c>
      <c r="B277" s="30" t="s">
        <v>2392</v>
      </c>
      <c r="C277" s="30" t="s">
        <v>245</v>
      </c>
      <c r="D277" s="30" t="s">
        <v>245</v>
      </c>
      <c r="E277" s="30" t="s">
        <v>245</v>
      </c>
      <c r="F277" s="30" t="s">
        <v>2393</v>
      </c>
      <c r="G277" s="30" t="s">
        <v>245</v>
      </c>
      <c r="H277" s="30" t="s">
        <v>245</v>
      </c>
      <c r="I277" s="30" t="s">
        <v>2821</v>
      </c>
      <c r="K277" s="30" t="s">
        <v>2394</v>
      </c>
      <c r="L277" s="30" t="s">
        <v>1288</v>
      </c>
      <c r="M277" s="30" t="s">
        <v>245</v>
      </c>
      <c r="N277" s="30" t="s">
        <v>245</v>
      </c>
      <c r="O277" s="30" t="s">
        <v>245</v>
      </c>
      <c r="P277" s="30" t="s">
        <v>245</v>
      </c>
      <c r="Q277" s="30" t="s">
        <v>245</v>
      </c>
      <c r="R277" s="30" t="s">
        <v>245</v>
      </c>
      <c r="S277" s="30" t="s">
        <v>245</v>
      </c>
      <c r="T277" s="30" t="s">
        <v>245</v>
      </c>
      <c r="U277" s="30" t="s">
        <v>245</v>
      </c>
      <c r="V277" s="30" t="s">
        <v>245</v>
      </c>
      <c r="W277" s="30" t="s">
        <v>245</v>
      </c>
      <c r="X277" s="30" t="s">
        <v>245</v>
      </c>
      <c r="Y277" s="30" t="s">
        <v>245</v>
      </c>
      <c r="Z277" s="30" t="s">
        <v>245</v>
      </c>
      <c r="AA277" s="30" t="s">
        <v>245</v>
      </c>
      <c r="AB277" s="30" t="s">
        <v>245</v>
      </c>
      <c r="AC277" s="30" t="s">
        <v>2395</v>
      </c>
      <c r="AD277" s="30" t="s">
        <v>2396</v>
      </c>
      <c r="AE277" s="30" t="s">
        <v>245</v>
      </c>
      <c r="AF277" s="30" t="s">
        <v>245</v>
      </c>
      <c r="AG277" s="30" t="s">
        <v>245</v>
      </c>
      <c r="AH277" s="30" t="s">
        <v>245</v>
      </c>
      <c r="AI277" s="30" t="s">
        <v>245</v>
      </c>
      <c r="AJ277" s="30" t="s">
        <v>245</v>
      </c>
      <c r="AK277" s="30" t="s">
        <v>245</v>
      </c>
      <c r="AL277" s="30" t="s">
        <v>245</v>
      </c>
      <c r="AM277" s="30" t="s">
        <v>245</v>
      </c>
      <c r="AN277" s="30" t="s">
        <v>245</v>
      </c>
      <c r="AO277" s="30" t="s">
        <v>245</v>
      </c>
      <c r="AP277" s="30" t="s">
        <v>245</v>
      </c>
      <c r="AQ277" s="30" t="s">
        <v>1291</v>
      </c>
      <c r="AR277" s="30" t="s">
        <v>1292</v>
      </c>
      <c r="AS277" s="30" t="s">
        <v>245</v>
      </c>
      <c r="AT277" s="30" t="s">
        <v>245</v>
      </c>
      <c r="AU277" s="30" t="s">
        <v>245</v>
      </c>
      <c r="AV277" s="30" t="s">
        <v>481</v>
      </c>
      <c r="AW277" s="30">
        <v>2018</v>
      </c>
      <c r="AX277" s="30">
        <v>119</v>
      </c>
      <c r="AY277" s="30" t="s">
        <v>245</v>
      </c>
      <c r="AZ277" s="30" t="s">
        <v>245</v>
      </c>
      <c r="BA277" s="30" t="s">
        <v>245</v>
      </c>
      <c r="BB277" s="30" t="s">
        <v>245</v>
      </c>
      <c r="BC277" s="30" t="s">
        <v>245</v>
      </c>
      <c r="BD277" s="30">
        <v>206</v>
      </c>
      <c r="BE277" s="30">
        <v>216</v>
      </c>
      <c r="BF277" s="30" t="s">
        <v>245</v>
      </c>
      <c r="BG277" s="30" t="s">
        <v>2397</v>
      </c>
      <c r="BH277" s="30" t="str">
        <f>HYPERLINK("http://dx.doi.org/10.1016/j.biombioe.2018.09.015","http://dx.doi.org/10.1016/j.biombioe.2018.09.015")</f>
        <v>http://dx.doi.org/10.1016/j.biombioe.2018.09.015</v>
      </c>
      <c r="BI277" s="30" t="s">
        <v>245</v>
      </c>
      <c r="BJ277" s="30" t="s">
        <v>245</v>
      </c>
      <c r="BK277" s="30" t="s">
        <v>245</v>
      </c>
      <c r="BL277" s="30" t="s">
        <v>245</v>
      </c>
      <c r="BM277" s="30" t="s">
        <v>245</v>
      </c>
      <c r="BN277" s="30" t="s">
        <v>245</v>
      </c>
      <c r="BO277" s="30" t="s">
        <v>245</v>
      </c>
      <c r="BP277" s="30" t="s">
        <v>245</v>
      </c>
      <c r="BQ277" s="30" t="s">
        <v>245</v>
      </c>
      <c r="BR277" s="30" t="s">
        <v>245</v>
      </c>
      <c r="BS277" s="30" t="s">
        <v>245</v>
      </c>
      <c r="BT277" s="30" t="s">
        <v>245</v>
      </c>
      <c r="BU277" s="30" t="s">
        <v>2398</v>
      </c>
      <c r="BV277" s="30" t="str">
        <f>HYPERLINK("https%3A%2F%2Fwww.webofscience.com%2Fwos%2Fwoscc%2Ffull-record%2FWOS:000449265800024","View Full Record in Web of Science")</f>
        <v>View Full Record in Web of Science</v>
      </c>
    </row>
    <row r="278" spans="1:74" x14ac:dyDescent="0.2">
      <c r="A278" s="30" t="s">
        <v>243</v>
      </c>
      <c r="B278" s="30" t="s">
        <v>2399</v>
      </c>
      <c r="C278" s="30" t="s">
        <v>245</v>
      </c>
      <c r="D278" s="30" t="s">
        <v>245</v>
      </c>
      <c r="E278" s="30" t="s">
        <v>245</v>
      </c>
      <c r="F278" s="30" t="s">
        <v>2400</v>
      </c>
      <c r="G278" s="30" t="s">
        <v>245</v>
      </c>
      <c r="H278" s="30" t="s">
        <v>245</v>
      </c>
      <c r="I278" s="30" t="s">
        <v>2826</v>
      </c>
      <c r="K278" s="30" t="s">
        <v>2401</v>
      </c>
      <c r="L278" s="30" t="s">
        <v>1804</v>
      </c>
      <c r="M278" s="30" t="s">
        <v>245</v>
      </c>
      <c r="N278" s="30" t="s">
        <v>245</v>
      </c>
      <c r="O278" s="30" t="s">
        <v>245</v>
      </c>
      <c r="P278" s="30" t="s">
        <v>245</v>
      </c>
      <c r="Q278" s="30" t="s">
        <v>245</v>
      </c>
      <c r="R278" s="30" t="s">
        <v>245</v>
      </c>
      <c r="S278" s="30" t="s">
        <v>245</v>
      </c>
      <c r="T278" s="30" t="s">
        <v>245</v>
      </c>
      <c r="U278" s="30" t="s">
        <v>245</v>
      </c>
      <c r="V278" s="30" t="s">
        <v>245</v>
      </c>
      <c r="W278" s="30" t="s">
        <v>245</v>
      </c>
      <c r="X278" s="30" t="s">
        <v>245</v>
      </c>
      <c r="Y278" s="30" t="s">
        <v>245</v>
      </c>
      <c r="Z278" s="30" t="s">
        <v>245</v>
      </c>
      <c r="AA278" s="30" t="s">
        <v>245</v>
      </c>
      <c r="AB278" s="30" t="s">
        <v>245</v>
      </c>
      <c r="AC278" s="30" t="s">
        <v>2402</v>
      </c>
      <c r="AD278" s="30" t="s">
        <v>2403</v>
      </c>
      <c r="AE278" s="30" t="s">
        <v>245</v>
      </c>
      <c r="AF278" s="30" t="s">
        <v>245</v>
      </c>
      <c r="AG278" s="30" t="s">
        <v>245</v>
      </c>
      <c r="AH278" s="30" t="s">
        <v>245</v>
      </c>
      <c r="AI278" s="30" t="s">
        <v>245</v>
      </c>
      <c r="AJ278" s="30" t="s">
        <v>245</v>
      </c>
      <c r="AK278" s="30" t="s">
        <v>245</v>
      </c>
      <c r="AL278" s="30" t="s">
        <v>245</v>
      </c>
      <c r="AM278" s="30" t="s">
        <v>245</v>
      </c>
      <c r="AN278" s="30" t="s">
        <v>245</v>
      </c>
      <c r="AO278" s="30" t="s">
        <v>245</v>
      </c>
      <c r="AP278" s="30" t="s">
        <v>245</v>
      </c>
      <c r="AQ278" s="30" t="s">
        <v>1807</v>
      </c>
      <c r="AR278" s="30" t="s">
        <v>245</v>
      </c>
      <c r="AS278" s="30" t="s">
        <v>245</v>
      </c>
      <c r="AT278" s="30" t="s">
        <v>245</v>
      </c>
      <c r="AU278" s="30" t="s">
        <v>245</v>
      </c>
      <c r="AV278" s="30" t="s">
        <v>1786</v>
      </c>
      <c r="AW278" s="30">
        <v>2021</v>
      </c>
      <c r="AX278" s="30">
        <v>6</v>
      </c>
      <c r="AY278" s="30">
        <v>1</v>
      </c>
      <c r="AZ278" s="30" t="s">
        <v>245</v>
      </c>
      <c r="BA278" s="30" t="s">
        <v>245</v>
      </c>
      <c r="BB278" s="30" t="s">
        <v>245</v>
      </c>
      <c r="BC278" s="30" t="s">
        <v>245</v>
      </c>
      <c r="BD278" s="30" t="s">
        <v>245</v>
      </c>
      <c r="BE278" s="30" t="s">
        <v>245</v>
      </c>
      <c r="BF278" s="30" t="s">
        <v>2404</v>
      </c>
      <c r="BG278" s="30" t="s">
        <v>2405</v>
      </c>
      <c r="BH278" s="30" t="str">
        <f>HYPERLINK("http://dx.doi.org/10.1128/mSystems.01025-20","http://dx.doi.org/10.1128/mSystems.01025-20")</f>
        <v>http://dx.doi.org/10.1128/mSystems.01025-20</v>
      </c>
      <c r="BI278" s="30" t="s">
        <v>245</v>
      </c>
      <c r="BJ278" s="30" t="s">
        <v>245</v>
      </c>
      <c r="BK278" s="30" t="s">
        <v>245</v>
      </c>
      <c r="BL278" s="30" t="s">
        <v>245</v>
      </c>
      <c r="BM278" s="30" t="s">
        <v>245</v>
      </c>
      <c r="BN278" s="30" t="s">
        <v>245</v>
      </c>
      <c r="BO278" s="30" t="s">
        <v>245</v>
      </c>
      <c r="BP278" s="30">
        <v>33563788</v>
      </c>
      <c r="BQ278" s="30" t="s">
        <v>245</v>
      </c>
      <c r="BR278" s="30" t="s">
        <v>245</v>
      </c>
      <c r="BS278" s="30" t="s">
        <v>245</v>
      </c>
      <c r="BT278" s="30" t="s">
        <v>245</v>
      </c>
      <c r="BU278" s="30" t="s">
        <v>2406</v>
      </c>
      <c r="BV278" s="30" t="str">
        <f>HYPERLINK("https%3A%2F%2Fwww.webofscience.com%2Fwos%2Fwoscc%2Ffull-record%2FWOS:000647691000028","View Full Record in Web of Science")</f>
        <v>View Full Record in Web of Science</v>
      </c>
    </row>
    <row r="279" spans="1:74" x14ac:dyDescent="0.2">
      <c r="A279" s="30" t="s">
        <v>243</v>
      </c>
      <c r="B279" s="30" t="s">
        <v>2407</v>
      </c>
      <c r="C279" s="30" t="s">
        <v>245</v>
      </c>
      <c r="D279" s="30" t="s">
        <v>245</v>
      </c>
      <c r="E279" s="30" t="s">
        <v>245</v>
      </c>
      <c r="F279" s="30" t="s">
        <v>2407</v>
      </c>
      <c r="G279" s="30" t="s">
        <v>245</v>
      </c>
      <c r="H279" s="30" t="s">
        <v>245</v>
      </c>
      <c r="I279" s="30" t="s">
        <v>2821</v>
      </c>
      <c r="K279" s="30" t="s">
        <v>2408</v>
      </c>
      <c r="L279" s="30" t="s">
        <v>2409</v>
      </c>
      <c r="M279" s="30" t="s">
        <v>245</v>
      </c>
      <c r="N279" s="30" t="s">
        <v>245</v>
      </c>
      <c r="O279" s="30" t="s">
        <v>245</v>
      </c>
      <c r="P279" s="30" t="s">
        <v>245</v>
      </c>
      <c r="Q279" s="30" t="s">
        <v>245</v>
      </c>
      <c r="R279" s="30" t="s">
        <v>245</v>
      </c>
      <c r="S279" s="30" t="s">
        <v>245</v>
      </c>
      <c r="T279" s="30" t="s">
        <v>245</v>
      </c>
      <c r="U279" s="30" t="s">
        <v>245</v>
      </c>
      <c r="V279" s="30" t="s">
        <v>245</v>
      </c>
      <c r="W279" s="30" t="s">
        <v>245</v>
      </c>
      <c r="X279" s="30" t="s">
        <v>245</v>
      </c>
      <c r="Y279" s="30" t="s">
        <v>245</v>
      </c>
      <c r="Z279" s="30" t="s">
        <v>245</v>
      </c>
      <c r="AA279" s="30" t="s">
        <v>245</v>
      </c>
      <c r="AB279" s="30" t="s">
        <v>245</v>
      </c>
      <c r="AC279" s="30" t="s">
        <v>2410</v>
      </c>
      <c r="AD279" s="30" t="s">
        <v>2411</v>
      </c>
      <c r="AE279" s="30" t="s">
        <v>245</v>
      </c>
      <c r="AF279" s="30" t="s">
        <v>245</v>
      </c>
      <c r="AG279" s="30" t="s">
        <v>245</v>
      </c>
      <c r="AH279" s="30" t="s">
        <v>245</v>
      </c>
      <c r="AI279" s="30" t="s">
        <v>245</v>
      </c>
      <c r="AJ279" s="30" t="s">
        <v>245</v>
      </c>
      <c r="AK279" s="30" t="s">
        <v>245</v>
      </c>
      <c r="AL279" s="30" t="s">
        <v>245</v>
      </c>
      <c r="AM279" s="30" t="s">
        <v>245</v>
      </c>
      <c r="AN279" s="30" t="s">
        <v>245</v>
      </c>
      <c r="AO279" s="30" t="s">
        <v>245</v>
      </c>
      <c r="AP279" s="30" t="s">
        <v>245</v>
      </c>
      <c r="AQ279" s="30" t="s">
        <v>2412</v>
      </c>
      <c r="AR279" s="30" t="s">
        <v>245</v>
      </c>
      <c r="AS279" s="30" t="s">
        <v>245</v>
      </c>
      <c r="AT279" s="30" t="s">
        <v>245</v>
      </c>
      <c r="AU279" s="30" t="s">
        <v>245</v>
      </c>
      <c r="AV279" s="30" t="s">
        <v>245</v>
      </c>
      <c r="AW279" s="30">
        <v>2003</v>
      </c>
      <c r="AX279" s="30">
        <v>41</v>
      </c>
      <c r="AY279" s="30">
        <v>6</v>
      </c>
      <c r="AZ279" s="30" t="s">
        <v>245</v>
      </c>
      <c r="BA279" s="30" t="s">
        <v>245</v>
      </c>
      <c r="BB279" s="30" t="s">
        <v>245</v>
      </c>
      <c r="BC279" s="30" t="s">
        <v>245</v>
      </c>
      <c r="BD279" s="30">
        <v>1177</v>
      </c>
      <c r="BE279" s="30">
        <v>1183</v>
      </c>
      <c r="BF279" s="30" t="s">
        <v>245</v>
      </c>
      <c r="BG279" s="30" t="s">
        <v>2413</v>
      </c>
      <c r="BH279" s="30" t="str">
        <f>HYPERLINK("http://dx.doi.org/10.1071/SR02144","http://dx.doi.org/10.1071/SR02144")</f>
        <v>http://dx.doi.org/10.1071/SR02144</v>
      </c>
      <c r="BI279" s="30" t="s">
        <v>245</v>
      </c>
      <c r="BJ279" s="30" t="s">
        <v>245</v>
      </c>
      <c r="BK279" s="30" t="s">
        <v>245</v>
      </c>
      <c r="BL279" s="30" t="s">
        <v>245</v>
      </c>
      <c r="BM279" s="30" t="s">
        <v>245</v>
      </c>
      <c r="BN279" s="30" t="s">
        <v>245</v>
      </c>
      <c r="BO279" s="30" t="s">
        <v>245</v>
      </c>
      <c r="BP279" s="30" t="s">
        <v>245</v>
      </c>
      <c r="BQ279" s="30" t="s">
        <v>245</v>
      </c>
      <c r="BR279" s="30" t="s">
        <v>245</v>
      </c>
      <c r="BS279" s="30" t="s">
        <v>245</v>
      </c>
      <c r="BT279" s="30" t="s">
        <v>245</v>
      </c>
      <c r="BU279" s="30" t="s">
        <v>2414</v>
      </c>
      <c r="BV279" s="30" t="str">
        <f>HYPERLINK("https%3A%2F%2Fwww.webofscience.com%2Fwos%2Fwoscc%2Ffull-record%2FWOS:000185979500012","View Full Record in Web of Science")</f>
        <v>View Full Record in Web of Science</v>
      </c>
    </row>
    <row r="280" spans="1:74" x14ac:dyDescent="0.2">
      <c r="A280" s="30" t="s">
        <v>243</v>
      </c>
      <c r="B280" s="30" t="s">
        <v>2415</v>
      </c>
      <c r="C280" s="30" t="s">
        <v>245</v>
      </c>
      <c r="D280" s="30" t="s">
        <v>245</v>
      </c>
      <c r="E280" s="30" t="s">
        <v>245</v>
      </c>
      <c r="F280" s="30" t="s">
        <v>2416</v>
      </c>
      <c r="G280" s="30" t="s">
        <v>245</v>
      </c>
      <c r="H280" s="30" t="s">
        <v>245</v>
      </c>
      <c r="I280" s="30" t="s">
        <v>2823</v>
      </c>
      <c r="K280" s="30" t="s">
        <v>2417</v>
      </c>
      <c r="L280" s="30" t="s">
        <v>2418</v>
      </c>
      <c r="M280" s="30" t="s">
        <v>245</v>
      </c>
      <c r="N280" s="30" t="s">
        <v>245</v>
      </c>
      <c r="O280" s="30" t="s">
        <v>245</v>
      </c>
      <c r="P280" s="30" t="s">
        <v>245</v>
      </c>
      <c r="Q280" s="30" t="s">
        <v>245</v>
      </c>
      <c r="R280" s="30" t="s">
        <v>245</v>
      </c>
      <c r="S280" s="30" t="s">
        <v>245</v>
      </c>
      <c r="T280" s="30" t="s">
        <v>245</v>
      </c>
      <c r="U280" s="30" t="s">
        <v>245</v>
      </c>
      <c r="V280" s="30" t="s">
        <v>245</v>
      </c>
      <c r="W280" s="30" t="s">
        <v>245</v>
      </c>
      <c r="X280" s="30" t="s">
        <v>245</v>
      </c>
      <c r="Y280" s="30" t="s">
        <v>245</v>
      </c>
      <c r="Z280" s="30" t="s">
        <v>245</v>
      </c>
      <c r="AA280" s="30" t="s">
        <v>245</v>
      </c>
      <c r="AB280" s="30" t="s">
        <v>245</v>
      </c>
      <c r="AC280" s="30" t="s">
        <v>2419</v>
      </c>
      <c r="AD280" s="30" t="s">
        <v>245</v>
      </c>
      <c r="AE280" s="30" t="s">
        <v>245</v>
      </c>
      <c r="AF280" s="30" t="s">
        <v>245</v>
      </c>
      <c r="AG280" s="30" t="s">
        <v>245</v>
      </c>
      <c r="AH280" s="30" t="s">
        <v>245</v>
      </c>
      <c r="AI280" s="30" t="s">
        <v>245</v>
      </c>
      <c r="AJ280" s="30" t="s">
        <v>245</v>
      </c>
      <c r="AK280" s="30" t="s">
        <v>245</v>
      </c>
      <c r="AL280" s="30" t="s">
        <v>245</v>
      </c>
      <c r="AM280" s="30" t="s">
        <v>245</v>
      </c>
      <c r="AN280" s="30" t="s">
        <v>245</v>
      </c>
      <c r="AO280" s="30" t="s">
        <v>245</v>
      </c>
      <c r="AP280" s="30" t="s">
        <v>245</v>
      </c>
      <c r="AQ280" s="30" t="s">
        <v>2420</v>
      </c>
      <c r="AR280" s="30" t="s">
        <v>2421</v>
      </c>
      <c r="AS280" s="30" t="s">
        <v>245</v>
      </c>
      <c r="AT280" s="30" t="s">
        <v>245</v>
      </c>
      <c r="AU280" s="30" t="s">
        <v>245</v>
      </c>
      <c r="AV280" s="30" t="s">
        <v>550</v>
      </c>
      <c r="AW280" s="30">
        <v>2023</v>
      </c>
      <c r="AX280" s="30">
        <v>387</v>
      </c>
      <c r="AY280" s="30" t="s">
        <v>245</v>
      </c>
      <c r="AZ280" s="30" t="s">
        <v>245</v>
      </c>
      <c r="BA280" s="30" t="s">
        <v>245</v>
      </c>
      <c r="BB280" s="30" t="s">
        <v>245</v>
      </c>
      <c r="BC280" s="30" t="s">
        <v>245</v>
      </c>
      <c r="BD280" s="30" t="s">
        <v>245</v>
      </c>
      <c r="BE280" s="30" t="s">
        <v>245</v>
      </c>
      <c r="BF280" s="30">
        <v>129682</v>
      </c>
      <c r="BG280" s="30" t="s">
        <v>2422</v>
      </c>
      <c r="BH280" s="30" t="str">
        <f>HYPERLINK("http://dx.doi.org/10.1016/j.biortech.2023.129682","http://dx.doi.org/10.1016/j.biortech.2023.129682")</f>
        <v>http://dx.doi.org/10.1016/j.biortech.2023.129682</v>
      </c>
      <c r="BI280" s="30" t="s">
        <v>245</v>
      </c>
      <c r="BJ280" s="30" t="s">
        <v>1596</v>
      </c>
      <c r="BK280" s="30" t="s">
        <v>245</v>
      </c>
      <c r="BL280" s="30" t="s">
        <v>245</v>
      </c>
      <c r="BM280" s="30" t="s">
        <v>245</v>
      </c>
      <c r="BN280" s="30" t="s">
        <v>245</v>
      </c>
      <c r="BO280" s="30" t="s">
        <v>245</v>
      </c>
      <c r="BP280" s="30">
        <v>37586431</v>
      </c>
      <c r="BQ280" s="30" t="s">
        <v>245</v>
      </c>
      <c r="BR280" s="30" t="s">
        <v>245</v>
      </c>
      <c r="BS280" s="30" t="s">
        <v>245</v>
      </c>
      <c r="BT280" s="30" t="s">
        <v>245</v>
      </c>
      <c r="BU280" s="30" t="s">
        <v>2423</v>
      </c>
      <c r="BV280" s="30" t="str">
        <f>HYPERLINK("https%3A%2F%2Fwww.webofscience.com%2Fwos%2Fwoscc%2Ffull-record%2FWOS:001063377000001","View Full Record in Web of Science")</f>
        <v>View Full Record in Web of Science</v>
      </c>
    </row>
    <row r="281" spans="1:74" x14ac:dyDescent="0.2">
      <c r="A281" s="30" t="s">
        <v>243</v>
      </c>
      <c r="B281" s="30" t="s">
        <v>2424</v>
      </c>
      <c r="C281" s="30" t="s">
        <v>245</v>
      </c>
      <c r="D281" s="30" t="s">
        <v>245</v>
      </c>
      <c r="E281" s="30" t="s">
        <v>245</v>
      </c>
      <c r="F281" s="30" t="s">
        <v>2425</v>
      </c>
      <c r="G281" s="30" t="s">
        <v>245</v>
      </c>
      <c r="H281" s="30" t="s">
        <v>245</v>
      </c>
      <c r="I281" s="30" t="s">
        <v>2826</v>
      </c>
      <c r="K281" s="30" t="s">
        <v>2426</v>
      </c>
      <c r="L281" s="30" t="s">
        <v>2427</v>
      </c>
      <c r="M281" s="30" t="s">
        <v>245</v>
      </c>
      <c r="N281" s="30" t="s">
        <v>245</v>
      </c>
      <c r="O281" s="30" t="s">
        <v>245</v>
      </c>
      <c r="P281" s="30" t="s">
        <v>245</v>
      </c>
      <c r="Q281" s="30" t="s">
        <v>245</v>
      </c>
      <c r="R281" s="30" t="s">
        <v>245</v>
      </c>
      <c r="S281" s="30" t="s">
        <v>245</v>
      </c>
      <c r="T281" s="30" t="s">
        <v>245</v>
      </c>
      <c r="U281" s="30" t="s">
        <v>245</v>
      </c>
      <c r="V281" s="30" t="s">
        <v>245</v>
      </c>
      <c r="W281" s="30" t="s">
        <v>245</v>
      </c>
      <c r="X281" s="30" t="s">
        <v>245</v>
      </c>
      <c r="Y281" s="30" t="s">
        <v>245</v>
      </c>
      <c r="Z281" s="30" t="s">
        <v>245</v>
      </c>
      <c r="AA281" s="30" t="s">
        <v>245</v>
      </c>
      <c r="AB281" s="30" t="s">
        <v>245</v>
      </c>
      <c r="AC281" s="30" t="s">
        <v>2428</v>
      </c>
      <c r="AD281" s="30" t="s">
        <v>2429</v>
      </c>
      <c r="AE281" s="30" t="s">
        <v>245</v>
      </c>
      <c r="AF281" s="30" t="s">
        <v>245</v>
      </c>
      <c r="AG281" s="30" t="s">
        <v>245</v>
      </c>
      <c r="AH281" s="30" t="s">
        <v>245</v>
      </c>
      <c r="AI281" s="30" t="s">
        <v>245</v>
      </c>
      <c r="AJ281" s="30" t="s">
        <v>245</v>
      </c>
      <c r="AK281" s="30" t="s">
        <v>245</v>
      </c>
      <c r="AL281" s="30" t="s">
        <v>245</v>
      </c>
      <c r="AM281" s="30" t="s">
        <v>245</v>
      </c>
      <c r="AN281" s="30" t="s">
        <v>245</v>
      </c>
      <c r="AO281" s="30" t="s">
        <v>245</v>
      </c>
      <c r="AP281" s="30" t="s">
        <v>245</v>
      </c>
      <c r="AQ281" s="30" t="s">
        <v>2430</v>
      </c>
      <c r="AR281" s="30" t="s">
        <v>2431</v>
      </c>
      <c r="AS281" s="30" t="s">
        <v>245</v>
      </c>
      <c r="AT281" s="30" t="s">
        <v>245</v>
      </c>
      <c r="AU281" s="30" t="s">
        <v>245</v>
      </c>
      <c r="AV281" s="30" t="s">
        <v>245</v>
      </c>
      <c r="AW281" s="30">
        <v>2016</v>
      </c>
      <c r="AX281" s="30">
        <v>16</v>
      </c>
      <c r="AY281" s="30">
        <v>13</v>
      </c>
      <c r="AZ281" s="30" t="s">
        <v>245</v>
      </c>
      <c r="BA281" s="30" t="s">
        <v>245</v>
      </c>
      <c r="BB281" s="30" t="s">
        <v>245</v>
      </c>
      <c r="BC281" s="30" t="s">
        <v>245</v>
      </c>
      <c r="BD281" s="30">
        <v>8157</v>
      </c>
      <c r="BE281" s="30">
        <v>8180</v>
      </c>
      <c r="BF281" s="30" t="s">
        <v>245</v>
      </c>
      <c r="BG281" s="30" t="s">
        <v>2432</v>
      </c>
      <c r="BH281" s="30" t="str">
        <f>HYPERLINK("http://dx.doi.org/10.5194/acp-16-8157-2016","http://dx.doi.org/10.5194/acp-16-8157-2016")</f>
        <v>http://dx.doi.org/10.5194/acp-16-8157-2016</v>
      </c>
      <c r="BI281" s="30" t="s">
        <v>245</v>
      </c>
      <c r="BJ281" s="30" t="s">
        <v>245</v>
      </c>
      <c r="BK281" s="30" t="s">
        <v>245</v>
      </c>
      <c r="BL281" s="30" t="s">
        <v>245</v>
      </c>
      <c r="BM281" s="30" t="s">
        <v>245</v>
      </c>
      <c r="BN281" s="30" t="s">
        <v>245</v>
      </c>
      <c r="BO281" s="30" t="s">
        <v>245</v>
      </c>
      <c r="BP281" s="30" t="s">
        <v>245</v>
      </c>
      <c r="BQ281" s="30" t="s">
        <v>245</v>
      </c>
      <c r="BR281" s="30" t="s">
        <v>245</v>
      </c>
      <c r="BS281" s="30" t="s">
        <v>245</v>
      </c>
      <c r="BT281" s="30" t="s">
        <v>245</v>
      </c>
      <c r="BU281" s="30" t="s">
        <v>2433</v>
      </c>
      <c r="BV281" s="30" t="str">
        <f>HYPERLINK("https%3A%2F%2Fwww.webofscience.com%2Fwos%2Fwoscc%2Ffull-record%2FWOS:000381091400007","View Full Record in Web of Science")</f>
        <v>View Full Record in Web of Science</v>
      </c>
    </row>
    <row r="282" spans="1:74" x14ac:dyDescent="0.2">
      <c r="A282" s="30" t="s">
        <v>243</v>
      </c>
      <c r="B282" s="30" t="s">
        <v>2434</v>
      </c>
      <c r="C282" s="30" t="s">
        <v>245</v>
      </c>
      <c r="D282" s="30" t="s">
        <v>245</v>
      </c>
      <c r="E282" s="30" t="s">
        <v>245</v>
      </c>
      <c r="F282" s="30" t="s">
        <v>2435</v>
      </c>
      <c r="G282" s="30" t="s">
        <v>245</v>
      </c>
      <c r="H282" s="30" t="s">
        <v>245</v>
      </c>
      <c r="I282" s="30" t="s">
        <v>2823</v>
      </c>
      <c r="K282" s="30" t="s">
        <v>2436</v>
      </c>
      <c r="L282" s="30" t="s">
        <v>641</v>
      </c>
      <c r="M282" s="30" t="s">
        <v>245</v>
      </c>
      <c r="N282" s="30" t="s">
        <v>245</v>
      </c>
      <c r="O282" s="30" t="s">
        <v>245</v>
      </c>
      <c r="P282" s="30" t="s">
        <v>245</v>
      </c>
      <c r="Q282" s="30" t="s">
        <v>2437</v>
      </c>
      <c r="R282" s="30" t="s">
        <v>2438</v>
      </c>
      <c r="S282" s="30" t="s">
        <v>2439</v>
      </c>
      <c r="T282" s="30" t="s">
        <v>2440</v>
      </c>
      <c r="U282" s="30" t="s">
        <v>245</v>
      </c>
      <c r="V282" s="30" t="s">
        <v>245</v>
      </c>
      <c r="W282" s="30" t="s">
        <v>245</v>
      </c>
      <c r="X282" s="30" t="s">
        <v>245</v>
      </c>
      <c r="Y282" s="30" t="s">
        <v>245</v>
      </c>
      <c r="Z282" s="30" t="s">
        <v>245</v>
      </c>
      <c r="AA282" s="30" t="s">
        <v>245</v>
      </c>
      <c r="AB282" s="30" t="s">
        <v>245</v>
      </c>
      <c r="AC282" s="30" t="s">
        <v>2441</v>
      </c>
      <c r="AD282" s="30" t="s">
        <v>245</v>
      </c>
      <c r="AE282" s="30" t="s">
        <v>245</v>
      </c>
      <c r="AF282" s="30" t="s">
        <v>245</v>
      </c>
      <c r="AG282" s="30" t="s">
        <v>245</v>
      </c>
      <c r="AH282" s="30" t="s">
        <v>245</v>
      </c>
      <c r="AI282" s="30" t="s">
        <v>245</v>
      </c>
      <c r="AJ282" s="30" t="s">
        <v>245</v>
      </c>
      <c r="AK282" s="30" t="s">
        <v>245</v>
      </c>
      <c r="AL282" s="30" t="s">
        <v>245</v>
      </c>
      <c r="AM282" s="30" t="s">
        <v>245</v>
      </c>
      <c r="AN282" s="30" t="s">
        <v>245</v>
      </c>
      <c r="AO282" s="30" t="s">
        <v>245</v>
      </c>
      <c r="AP282" s="30" t="s">
        <v>245</v>
      </c>
      <c r="AQ282" s="30" t="s">
        <v>644</v>
      </c>
      <c r="AR282" s="30" t="s">
        <v>645</v>
      </c>
      <c r="AS282" s="30" t="s">
        <v>245</v>
      </c>
      <c r="AT282" s="30" t="s">
        <v>245</v>
      </c>
      <c r="AU282" s="30" t="s">
        <v>245</v>
      </c>
      <c r="AV282" s="30" t="s">
        <v>814</v>
      </c>
      <c r="AW282" s="30">
        <v>2006</v>
      </c>
      <c r="AX282" s="30">
        <v>35</v>
      </c>
      <c r="AY282" s="30">
        <v>4</v>
      </c>
      <c r="AZ282" s="30" t="s">
        <v>245</v>
      </c>
      <c r="BA282" s="30" t="s">
        <v>245</v>
      </c>
      <c r="BB282" s="30" t="s">
        <v>245</v>
      </c>
      <c r="BC282" s="30" t="s">
        <v>245</v>
      </c>
      <c r="BD282" s="30">
        <v>1554</v>
      </c>
      <c r="BE282" s="30">
        <v>1565</v>
      </c>
      <c r="BF282" s="30" t="s">
        <v>245</v>
      </c>
      <c r="BG282" s="30" t="s">
        <v>2442</v>
      </c>
      <c r="BH282" s="30" t="str">
        <f>HYPERLINK("http://dx.doi.org/10.2134/jeq2005.0208","http://dx.doi.org/10.2134/jeq2005.0208")</f>
        <v>http://dx.doi.org/10.2134/jeq2005.0208</v>
      </c>
      <c r="BI282" s="30" t="s">
        <v>245</v>
      </c>
      <c r="BJ282" s="30" t="s">
        <v>245</v>
      </c>
      <c r="BK282" s="30" t="s">
        <v>245</v>
      </c>
      <c r="BL282" s="30" t="s">
        <v>245</v>
      </c>
      <c r="BM282" s="30" t="s">
        <v>245</v>
      </c>
      <c r="BN282" s="30" t="s">
        <v>245</v>
      </c>
      <c r="BO282" s="30" t="s">
        <v>245</v>
      </c>
      <c r="BP282" s="30">
        <v>16825476</v>
      </c>
      <c r="BQ282" s="30" t="s">
        <v>245</v>
      </c>
      <c r="BR282" s="30" t="s">
        <v>245</v>
      </c>
      <c r="BS282" s="30" t="s">
        <v>245</v>
      </c>
      <c r="BT282" s="30" t="s">
        <v>245</v>
      </c>
      <c r="BU282" s="30" t="s">
        <v>2443</v>
      </c>
      <c r="BV282" s="30" t="str">
        <f>HYPERLINK("https%3A%2F%2Fwww.webofscience.com%2Fwos%2Fwoscc%2Ffull-record%2FWOS:000239189900063","View Full Record in Web of Science")</f>
        <v>View Full Record in Web of Science</v>
      </c>
    </row>
    <row r="283" spans="1:74" x14ac:dyDescent="0.2">
      <c r="A283" s="30" t="s">
        <v>243</v>
      </c>
      <c r="B283" s="30" t="s">
        <v>2444</v>
      </c>
      <c r="C283" s="30" t="s">
        <v>245</v>
      </c>
      <c r="D283" s="30" t="s">
        <v>245</v>
      </c>
      <c r="E283" s="30" t="s">
        <v>245</v>
      </c>
      <c r="F283" s="30" t="s">
        <v>2445</v>
      </c>
      <c r="G283" s="30" t="s">
        <v>245</v>
      </c>
      <c r="H283" s="30" t="s">
        <v>245</v>
      </c>
      <c r="J283" s="30" t="s">
        <v>2825</v>
      </c>
      <c r="K283" s="30" t="s">
        <v>2446</v>
      </c>
      <c r="L283" s="30" t="s">
        <v>2447</v>
      </c>
      <c r="M283" s="30" t="s">
        <v>245</v>
      </c>
      <c r="N283" s="30" t="s">
        <v>245</v>
      </c>
      <c r="O283" s="30" t="s">
        <v>245</v>
      </c>
      <c r="P283" s="30" t="s">
        <v>245</v>
      </c>
      <c r="Q283" s="30" t="s">
        <v>245</v>
      </c>
      <c r="R283" s="30" t="s">
        <v>245</v>
      </c>
      <c r="S283" s="30" t="s">
        <v>245</v>
      </c>
      <c r="T283" s="30" t="s">
        <v>245</v>
      </c>
      <c r="U283" s="30" t="s">
        <v>245</v>
      </c>
      <c r="V283" s="30" t="s">
        <v>245</v>
      </c>
      <c r="W283" s="30" t="s">
        <v>245</v>
      </c>
      <c r="X283" s="30" t="s">
        <v>245</v>
      </c>
      <c r="Y283" s="30" t="s">
        <v>245</v>
      </c>
      <c r="Z283" s="30" t="s">
        <v>245</v>
      </c>
      <c r="AA283" s="30" t="s">
        <v>245</v>
      </c>
      <c r="AB283" s="30" t="s">
        <v>245</v>
      </c>
      <c r="AC283" s="30" t="s">
        <v>2448</v>
      </c>
      <c r="AD283" s="30" t="s">
        <v>2449</v>
      </c>
      <c r="AE283" s="30" t="s">
        <v>245</v>
      </c>
      <c r="AF283" s="30" t="s">
        <v>245</v>
      </c>
      <c r="AG283" s="30" t="s">
        <v>245</v>
      </c>
      <c r="AH283" s="30" t="s">
        <v>245</v>
      </c>
      <c r="AI283" s="30" t="s">
        <v>245</v>
      </c>
      <c r="AJ283" s="30" t="s">
        <v>245</v>
      </c>
      <c r="AK283" s="30" t="s">
        <v>245</v>
      </c>
      <c r="AL283" s="30" t="s">
        <v>245</v>
      </c>
      <c r="AM283" s="30" t="s">
        <v>245</v>
      </c>
      <c r="AN283" s="30" t="s">
        <v>245</v>
      </c>
      <c r="AO283" s="30" t="s">
        <v>245</v>
      </c>
      <c r="AP283" s="30" t="s">
        <v>245</v>
      </c>
      <c r="AQ283" s="30" t="s">
        <v>2450</v>
      </c>
      <c r="AR283" s="30" t="s">
        <v>2451</v>
      </c>
      <c r="AS283" s="30" t="s">
        <v>245</v>
      </c>
      <c r="AT283" s="30" t="s">
        <v>245</v>
      </c>
      <c r="AU283" s="30" t="s">
        <v>245</v>
      </c>
      <c r="AV283" s="30" t="s">
        <v>354</v>
      </c>
      <c r="AW283" s="30">
        <v>2014</v>
      </c>
      <c r="AX283" s="30">
        <v>37</v>
      </c>
      <c r="AY283" s="30">
        <v>2</v>
      </c>
      <c r="AZ283" s="30" t="s">
        <v>245</v>
      </c>
      <c r="BA283" s="30" t="s">
        <v>245</v>
      </c>
      <c r="BB283" s="30" t="s">
        <v>245</v>
      </c>
      <c r="BC283" s="30" t="s">
        <v>245</v>
      </c>
      <c r="BD283" s="30">
        <v>113</v>
      </c>
      <c r="BE283" s="30">
        <v>116</v>
      </c>
      <c r="BF283" s="30" t="s">
        <v>245</v>
      </c>
      <c r="BG283" s="30" t="s">
        <v>2452</v>
      </c>
      <c r="BH283" s="30" t="str">
        <f>HYPERLINK("http://dx.doi.org/10.1007/s40009-013-0216-1","http://dx.doi.org/10.1007/s40009-013-0216-1")</f>
        <v>http://dx.doi.org/10.1007/s40009-013-0216-1</v>
      </c>
      <c r="BI283" s="30" t="s">
        <v>245</v>
      </c>
      <c r="BJ283" s="30" t="s">
        <v>245</v>
      </c>
      <c r="BK283" s="30" t="s">
        <v>245</v>
      </c>
      <c r="BL283" s="30" t="s">
        <v>245</v>
      </c>
      <c r="BM283" s="30" t="s">
        <v>245</v>
      </c>
      <c r="BN283" s="30" t="s">
        <v>245</v>
      </c>
      <c r="BO283" s="30" t="s">
        <v>245</v>
      </c>
      <c r="BP283" s="30" t="s">
        <v>245</v>
      </c>
      <c r="BQ283" s="30" t="s">
        <v>245</v>
      </c>
      <c r="BR283" s="30" t="s">
        <v>245</v>
      </c>
      <c r="BS283" s="30" t="s">
        <v>245</v>
      </c>
      <c r="BT283" s="30" t="s">
        <v>245</v>
      </c>
      <c r="BU283" s="30" t="s">
        <v>2453</v>
      </c>
      <c r="BV283" s="30" t="str">
        <f>HYPERLINK("https%3A%2F%2Fwww.webofscience.com%2Fwos%2Fwoscc%2Ffull-record%2FWOS:000334522700003","View Full Record in Web of Science")</f>
        <v>View Full Record in Web of Science</v>
      </c>
    </row>
    <row r="284" spans="1:74" x14ac:dyDescent="0.2">
      <c r="A284" s="30" t="s">
        <v>243</v>
      </c>
      <c r="B284" s="30" t="s">
        <v>2454</v>
      </c>
      <c r="C284" s="30" t="s">
        <v>245</v>
      </c>
      <c r="D284" s="30" t="s">
        <v>245</v>
      </c>
      <c r="E284" s="30" t="s">
        <v>245</v>
      </c>
      <c r="F284" s="30" t="s">
        <v>2455</v>
      </c>
      <c r="G284" s="30" t="s">
        <v>245</v>
      </c>
      <c r="H284" s="30" t="s">
        <v>245</v>
      </c>
      <c r="I284" s="30" t="s">
        <v>2823</v>
      </c>
      <c r="K284" s="30" t="s">
        <v>2456</v>
      </c>
      <c r="L284" s="30" t="s">
        <v>413</v>
      </c>
      <c r="M284" s="30" t="s">
        <v>245</v>
      </c>
      <c r="N284" s="30" t="s">
        <v>245</v>
      </c>
      <c r="O284" s="30" t="s">
        <v>245</v>
      </c>
      <c r="P284" s="30" t="s">
        <v>245</v>
      </c>
      <c r="Q284" s="30" t="s">
        <v>245</v>
      </c>
      <c r="R284" s="30" t="s">
        <v>245</v>
      </c>
      <c r="S284" s="30" t="s">
        <v>245</v>
      </c>
      <c r="T284" s="30" t="s">
        <v>245</v>
      </c>
      <c r="U284" s="30" t="s">
        <v>245</v>
      </c>
      <c r="V284" s="30" t="s">
        <v>245</v>
      </c>
      <c r="W284" s="30" t="s">
        <v>245</v>
      </c>
      <c r="X284" s="30" t="s">
        <v>245</v>
      </c>
      <c r="Y284" s="30" t="s">
        <v>245</v>
      </c>
      <c r="Z284" s="30" t="s">
        <v>245</v>
      </c>
      <c r="AA284" s="30" t="s">
        <v>245</v>
      </c>
      <c r="AB284" s="30" t="s">
        <v>245</v>
      </c>
      <c r="AC284" s="30" t="s">
        <v>2457</v>
      </c>
      <c r="AD284" s="30" t="s">
        <v>245</v>
      </c>
      <c r="AE284" s="30" t="s">
        <v>245</v>
      </c>
      <c r="AF284" s="30" t="s">
        <v>245</v>
      </c>
      <c r="AG284" s="30" t="s">
        <v>245</v>
      </c>
      <c r="AH284" s="30" t="s">
        <v>245</v>
      </c>
      <c r="AI284" s="30" t="s">
        <v>245</v>
      </c>
      <c r="AJ284" s="30" t="s">
        <v>245</v>
      </c>
      <c r="AK284" s="30" t="s">
        <v>245</v>
      </c>
      <c r="AL284" s="30" t="s">
        <v>245</v>
      </c>
      <c r="AM284" s="30" t="s">
        <v>245</v>
      </c>
      <c r="AN284" s="30" t="s">
        <v>245</v>
      </c>
      <c r="AO284" s="30" t="s">
        <v>245</v>
      </c>
      <c r="AP284" s="30" t="s">
        <v>245</v>
      </c>
      <c r="AQ284" s="30" t="s">
        <v>416</v>
      </c>
      <c r="AR284" s="30" t="s">
        <v>417</v>
      </c>
      <c r="AS284" s="30" t="s">
        <v>245</v>
      </c>
      <c r="AT284" s="30" t="s">
        <v>245</v>
      </c>
      <c r="AU284" s="30" t="s">
        <v>245</v>
      </c>
      <c r="AV284" s="30" t="s">
        <v>444</v>
      </c>
      <c r="AW284" s="30">
        <v>2024</v>
      </c>
      <c r="AX284" s="30">
        <v>943</v>
      </c>
      <c r="AY284" s="30" t="s">
        <v>245</v>
      </c>
      <c r="AZ284" s="30" t="s">
        <v>245</v>
      </c>
      <c r="BA284" s="30" t="s">
        <v>245</v>
      </c>
      <c r="BB284" s="30" t="s">
        <v>245</v>
      </c>
      <c r="BC284" s="30" t="s">
        <v>245</v>
      </c>
      <c r="BD284" s="30" t="s">
        <v>245</v>
      </c>
      <c r="BE284" s="30" t="s">
        <v>245</v>
      </c>
      <c r="BF284" s="30">
        <v>173793</v>
      </c>
      <c r="BG284" s="30" t="s">
        <v>2458</v>
      </c>
      <c r="BH284" s="30" t="str">
        <f>HYPERLINK("http://dx.doi.org/10.1016/j.scitotenv.2024.173793","http://dx.doi.org/10.1016/j.scitotenv.2024.173793")</f>
        <v>http://dx.doi.org/10.1016/j.scitotenv.2024.173793</v>
      </c>
      <c r="BI284" s="30" t="s">
        <v>245</v>
      </c>
      <c r="BJ284" s="30" t="s">
        <v>2459</v>
      </c>
      <c r="BK284" s="30" t="s">
        <v>245</v>
      </c>
      <c r="BL284" s="30" t="s">
        <v>245</v>
      </c>
      <c r="BM284" s="30" t="s">
        <v>245</v>
      </c>
      <c r="BN284" s="30" t="s">
        <v>245</v>
      </c>
      <c r="BO284" s="30" t="s">
        <v>245</v>
      </c>
      <c r="BP284" s="30">
        <v>38851333</v>
      </c>
      <c r="BQ284" s="30" t="s">
        <v>245</v>
      </c>
      <c r="BR284" s="30" t="s">
        <v>245</v>
      </c>
      <c r="BS284" s="30" t="s">
        <v>245</v>
      </c>
      <c r="BT284" s="30" t="s">
        <v>245</v>
      </c>
      <c r="BU284" s="30" t="s">
        <v>2460</v>
      </c>
      <c r="BV284" s="30" t="str">
        <f>HYPERLINK("https%3A%2F%2Fwww.webofscience.com%2Fwos%2Fwoscc%2Ffull-record%2FWOS:001253329900001","View Full Record in Web of Science")</f>
        <v>View Full Record in Web of Science</v>
      </c>
    </row>
    <row r="285" spans="1:74" x14ac:dyDescent="0.2">
      <c r="A285" s="30" t="s">
        <v>243</v>
      </c>
      <c r="B285" s="30" t="s">
        <v>2461</v>
      </c>
      <c r="C285" s="30" t="s">
        <v>245</v>
      </c>
      <c r="D285" s="30" t="s">
        <v>245</v>
      </c>
      <c r="E285" s="30" t="s">
        <v>245</v>
      </c>
      <c r="F285" s="30" t="s">
        <v>2462</v>
      </c>
      <c r="G285" s="30" t="s">
        <v>245</v>
      </c>
      <c r="H285" s="30" t="s">
        <v>245</v>
      </c>
      <c r="I285" s="30" t="s">
        <v>2823</v>
      </c>
      <c r="K285" s="30" t="s">
        <v>2463</v>
      </c>
      <c r="L285" s="30" t="s">
        <v>413</v>
      </c>
      <c r="M285" s="30" t="s">
        <v>245</v>
      </c>
      <c r="N285" s="30" t="s">
        <v>245</v>
      </c>
      <c r="O285" s="30" t="s">
        <v>245</v>
      </c>
      <c r="P285" s="30" t="s">
        <v>245</v>
      </c>
      <c r="Q285" s="30" t="s">
        <v>245</v>
      </c>
      <c r="R285" s="30" t="s">
        <v>245</v>
      </c>
      <c r="S285" s="30" t="s">
        <v>245</v>
      </c>
      <c r="T285" s="30" t="s">
        <v>245</v>
      </c>
      <c r="U285" s="30" t="s">
        <v>245</v>
      </c>
      <c r="V285" s="30" t="s">
        <v>245</v>
      </c>
      <c r="W285" s="30" t="s">
        <v>245</v>
      </c>
      <c r="X285" s="30" t="s">
        <v>245</v>
      </c>
      <c r="Y285" s="30" t="s">
        <v>245</v>
      </c>
      <c r="Z285" s="30" t="s">
        <v>245</v>
      </c>
      <c r="AA285" s="30" t="s">
        <v>245</v>
      </c>
      <c r="AB285" s="30" t="s">
        <v>245</v>
      </c>
      <c r="AC285" s="30" t="s">
        <v>2464</v>
      </c>
      <c r="AD285" s="30" t="s">
        <v>2465</v>
      </c>
      <c r="AE285" s="30" t="s">
        <v>245</v>
      </c>
      <c r="AF285" s="30" t="s">
        <v>245</v>
      </c>
      <c r="AG285" s="30" t="s">
        <v>245</v>
      </c>
      <c r="AH285" s="30" t="s">
        <v>245</v>
      </c>
      <c r="AI285" s="30" t="s">
        <v>245</v>
      </c>
      <c r="AJ285" s="30" t="s">
        <v>245</v>
      </c>
      <c r="AK285" s="30" t="s">
        <v>245</v>
      </c>
      <c r="AL285" s="30" t="s">
        <v>245</v>
      </c>
      <c r="AM285" s="30" t="s">
        <v>245</v>
      </c>
      <c r="AN285" s="30" t="s">
        <v>245</v>
      </c>
      <c r="AO285" s="30" t="s">
        <v>245</v>
      </c>
      <c r="AP285" s="30" t="s">
        <v>245</v>
      </c>
      <c r="AQ285" s="30" t="s">
        <v>416</v>
      </c>
      <c r="AR285" s="30" t="s">
        <v>417</v>
      </c>
      <c r="AS285" s="30" t="s">
        <v>245</v>
      </c>
      <c r="AT285" s="30" t="s">
        <v>245</v>
      </c>
      <c r="AU285" s="30" t="s">
        <v>245</v>
      </c>
      <c r="AV285" s="30" t="s">
        <v>1740</v>
      </c>
      <c r="AW285" s="30">
        <v>2018</v>
      </c>
      <c r="AX285" s="30">
        <v>619</v>
      </c>
      <c r="AY285" s="30" t="s">
        <v>245</v>
      </c>
      <c r="AZ285" s="30" t="s">
        <v>245</v>
      </c>
      <c r="BA285" s="30" t="s">
        <v>245</v>
      </c>
      <c r="BB285" s="30" t="s">
        <v>245</v>
      </c>
      <c r="BC285" s="30" t="s">
        <v>245</v>
      </c>
      <c r="BD285" s="30">
        <v>1579</v>
      </c>
      <c r="BE285" s="30">
        <v>1588</v>
      </c>
      <c r="BF285" s="30" t="s">
        <v>245</v>
      </c>
      <c r="BG285" s="30" t="s">
        <v>2466</v>
      </c>
      <c r="BH285" s="30" t="str">
        <f>HYPERLINK("http://dx.doi.org/10.1016/j.scitotenv.2017.10.144","http://dx.doi.org/10.1016/j.scitotenv.2017.10.144")</f>
        <v>http://dx.doi.org/10.1016/j.scitotenv.2017.10.144</v>
      </c>
      <c r="BI285" s="30" t="s">
        <v>245</v>
      </c>
      <c r="BJ285" s="30" t="s">
        <v>245</v>
      </c>
      <c r="BK285" s="30" t="s">
        <v>245</v>
      </c>
      <c r="BL285" s="30" t="s">
        <v>245</v>
      </c>
      <c r="BM285" s="30" t="s">
        <v>245</v>
      </c>
      <c r="BN285" s="30" t="s">
        <v>245</v>
      </c>
      <c r="BO285" s="30" t="s">
        <v>245</v>
      </c>
      <c r="BP285" s="30">
        <v>29128121</v>
      </c>
      <c r="BQ285" s="30" t="s">
        <v>245</v>
      </c>
      <c r="BR285" s="30" t="s">
        <v>245</v>
      </c>
      <c r="BS285" s="30" t="s">
        <v>245</v>
      </c>
      <c r="BT285" s="30" t="s">
        <v>245</v>
      </c>
      <c r="BU285" s="30" t="s">
        <v>2467</v>
      </c>
      <c r="BV285" s="30" t="str">
        <f>HYPERLINK("https%3A%2F%2Fwww.webofscience.com%2Fwos%2Fwoscc%2Ffull-record%2FWOS:000424144200156","View Full Record in Web of Science")</f>
        <v>View Full Record in Web of Science</v>
      </c>
    </row>
    <row r="286" spans="1:74" x14ac:dyDescent="0.2">
      <c r="A286" s="30" t="s">
        <v>243</v>
      </c>
      <c r="B286" s="30" t="s">
        <v>2468</v>
      </c>
      <c r="C286" s="30" t="s">
        <v>245</v>
      </c>
      <c r="D286" s="30" t="s">
        <v>245</v>
      </c>
      <c r="E286" s="30" t="s">
        <v>245</v>
      </c>
      <c r="F286" s="30" t="s">
        <v>2468</v>
      </c>
      <c r="G286" s="30" t="s">
        <v>245</v>
      </c>
      <c r="H286" s="30" t="s">
        <v>245</v>
      </c>
      <c r="I286" s="30" t="s">
        <v>2826</v>
      </c>
      <c r="K286" s="30" t="s">
        <v>2469</v>
      </c>
      <c r="L286" s="30" t="s">
        <v>432</v>
      </c>
      <c r="M286" s="30" t="s">
        <v>245</v>
      </c>
      <c r="N286" s="30" t="s">
        <v>245</v>
      </c>
      <c r="O286" s="30" t="s">
        <v>245</v>
      </c>
      <c r="P286" s="30" t="s">
        <v>245</v>
      </c>
      <c r="Q286" s="30" t="s">
        <v>245</v>
      </c>
      <c r="R286" s="30" t="s">
        <v>245</v>
      </c>
      <c r="S286" s="30" t="s">
        <v>245</v>
      </c>
      <c r="T286" s="30" t="s">
        <v>245</v>
      </c>
      <c r="U286" s="30" t="s">
        <v>245</v>
      </c>
      <c r="V286" s="30" t="s">
        <v>245</v>
      </c>
      <c r="W286" s="30" t="s">
        <v>245</v>
      </c>
      <c r="X286" s="30" t="s">
        <v>245</v>
      </c>
      <c r="Y286" s="30" t="s">
        <v>245</v>
      </c>
      <c r="Z286" s="30" t="s">
        <v>245</v>
      </c>
      <c r="AA286" s="30" t="s">
        <v>245</v>
      </c>
      <c r="AB286" s="30" t="s">
        <v>245</v>
      </c>
      <c r="AC286" s="30" t="s">
        <v>245</v>
      </c>
      <c r="AD286" s="30" t="s">
        <v>245</v>
      </c>
      <c r="AE286" s="30" t="s">
        <v>245</v>
      </c>
      <c r="AF286" s="30" t="s">
        <v>245</v>
      </c>
      <c r="AG286" s="30" t="s">
        <v>245</v>
      </c>
      <c r="AH286" s="30" t="s">
        <v>245</v>
      </c>
      <c r="AI286" s="30" t="s">
        <v>245</v>
      </c>
      <c r="AJ286" s="30" t="s">
        <v>245</v>
      </c>
      <c r="AK286" s="30" t="s">
        <v>245</v>
      </c>
      <c r="AL286" s="30" t="s">
        <v>245</v>
      </c>
      <c r="AM286" s="30" t="s">
        <v>245</v>
      </c>
      <c r="AN286" s="30" t="s">
        <v>245</v>
      </c>
      <c r="AO286" s="30" t="s">
        <v>245</v>
      </c>
      <c r="AP286" s="30" t="s">
        <v>245</v>
      </c>
      <c r="AQ286" s="30" t="s">
        <v>433</v>
      </c>
      <c r="AR286" s="30" t="s">
        <v>434</v>
      </c>
      <c r="AS286" s="30" t="s">
        <v>245</v>
      </c>
      <c r="AT286" s="30" t="s">
        <v>245</v>
      </c>
      <c r="AU286" s="30" t="s">
        <v>245</v>
      </c>
      <c r="AV286" s="30" t="s">
        <v>245</v>
      </c>
      <c r="AW286" s="30">
        <v>1975</v>
      </c>
      <c r="AX286" s="30">
        <v>43</v>
      </c>
      <c r="AY286" s="30">
        <v>3</v>
      </c>
      <c r="AZ286" s="30" t="s">
        <v>245</v>
      </c>
      <c r="BA286" s="30" t="s">
        <v>245</v>
      </c>
      <c r="BB286" s="30" t="s">
        <v>245</v>
      </c>
      <c r="BC286" s="30" t="s">
        <v>245</v>
      </c>
      <c r="BD286" s="30">
        <v>587</v>
      </c>
      <c r="BE286" s="30">
        <v>607</v>
      </c>
      <c r="BF286" s="30" t="s">
        <v>245</v>
      </c>
      <c r="BG286" s="30" t="s">
        <v>2470</v>
      </c>
      <c r="BH286" s="30" t="str">
        <f>HYPERLINK("http://dx.doi.org/10.1007/BF01928521","http://dx.doi.org/10.1007/BF01928521")</f>
        <v>http://dx.doi.org/10.1007/BF01928521</v>
      </c>
      <c r="BI286" s="30" t="s">
        <v>245</v>
      </c>
      <c r="BJ286" s="30" t="s">
        <v>245</v>
      </c>
      <c r="BK286" s="30" t="s">
        <v>245</v>
      </c>
      <c r="BL286" s="30" t="s">
        <v>245</v>
      </c>
      <c r="BM286" s="30" t="s">
        <v>245</v>
      </c>
      <c r="BN286" s="30" t="s">
        <v>245</v>
      </c>
      <c r="BO286" s="30" t="s">
        <v>245</v>
      </c>
      <c r="BP286" s="30" t="s">
        <v>245</v>
      </c>
      <c r="BQ286" s="30" t="s">
        <v>245</v>
      </c>
      <c r="BR286" s="30" t="s">
        <v>245</v>
      </c>
      <c r="BS286" s="30" t="s">
        <v>245</v>
      </c>
      <c r="BT286" s="30" t="s">
        <v>245</v>
      </c>
      <c r="BU286" s="30" t="s">
        <v>2471</v>
      </c>
      <c r="BV286" s="30" t="str">
        <f>HYPERLINK("https%3A%2F%2Fwww.webofscience.com%2Fwos%2Fwoscc%2Ffull-record%2FWOS:A1975BB78800006","View Full Record in Web of Science")</f>
        <v>View Full Record in Web of Science</v>
      </c>
    </row>
    <row r="287" spans="1:74" x14ac:dyDescent="0.2">
      <c r="A287" s="30" t="s">
        <v>243</v>
      </c>
      <c r="B287" s="30" t="s">
        <v>2472</v>
      </c>
      <c r="C287" s="30" t="s">
        <v>245</v>
      </c>
      <c r="D287" s="30" t="s">
        <v>245</v>
      </c>
      <c r="E287" s="30" t="s">
        <v>245</v>
      </c>
      <c r="F287" s="30" t="s">
        <v>2473</v>
      </c>
      <c r="G287" s="30" t="s">
        <v>245</v>
      </c>
      <c r="H287" s="30" t="s">
        <v>245</v>
      </c>
      <c r="I287" s="30" t="s">
        <v>2823</v>
      </c>
      <c r="K287" s="30" t="s">
        <v>2474</v>
      </c>
      <c r="L287" s="30" t="s">
        <v>413</v>
      </c>
      <c r="M287" s="30" t="s">
        <v>245</v>
      </c>
      <c r="N287" s="30" t="s">
        <v>245</v>
      </c>
      <c r="O287" s="30" t="s">
        <v>245</v>
      </c>
      <c r="P287" s="30" t="s">
        <v>245</v>
      </c>
      <c r="Q287" s="30" t="s">
        <v>245</v>
      </c>
      <c r="R287" s="30" t="s">
        <v>245</v>
      </c>
      <c r="S287" s="30" t="s">
        <v>245</v>
      </c>
      <c r="T287" s="30" t="s">
        <v>245</v>
      </c>
      <c r="U287" s="30" t="s">
        <v>245</v>
      </c>
      <c r="V287" s="30" t="s">
        <v>245</v>
      </c>
      <c r="W287" s="30" t="s">
        <v>245</v>
      </c>
      <c r="X287" s="30" t="s">
        <v>245</v>
      </c>
      <c r="Y287" s="30" t="s">
        <v>245</v>
      </c>
      <c r="Z287" s="30" t="s">
        <v>245</v>
      </c>
      <c r="AA287" s="30" t="s">
        <v>245</v>
      </c>
      <c r="AB287" s="30" t="s">
        <v>245</v>
      </c>
      <c r="AC287" s="30" t="s">
        <v>245</v>
      </c>
      <c r="AD287" s="30" t="s">
        <v>2475</v>
      </c>
      <c r="AE287" s="30" t="s">
        <v>245</v>
      </c>
      <c r="AF287" s="30" t="s">
        <v>245</v>
      </c>
      <c r="AG287" s="30" t="s">
        <v>245</v>
      </c>
      <c r="AH287" s="30" t="s">
        <v>245</v>
      </c>
      <c r="AI287" s="30" t="s">
        <v>245</v>
      </c>
      <c r="AJ287" s="30" t="s">
        <v>245</v>
      </c>
      <c r="AK287" s="30" t="s">
        <v>245</v>
      </c>
      <c r="AL287" s="30" t="s">
        <v>245</v>
      </c>
      <c r="AM287" s="30" t="s">
        <v>245</v>
      </c>
      <c r="AN287" s="30" t="s">
        <v>245</v>
      </c>
      <c r="AO287" s="30" t="s">
        <v>245</v>
      </c>
      <c r="AP287" s="30" t="s">
        <v>245</v>
      </c>
      <c r="AQ287" s="30" t="s">
        <v>416</v>
      </c>
      <c r="AR287" s="30" t="s">
        <v>417</v>
      </c>
      <c r="AS287" s="30" t="s">
        <v>245</v>
      </c>
      <c r="AT287" s="30" t="s">
        <v>245</v>
      </c>
      <c r="AU287" s="30" t="s">
        <v>245</v>
      </c>
      <c r="AV287" s="30" t="s">
        <v>384</v>
      </c>
      <c r="AW287" s="30">
        <v>2019</v>
      </c>
      <c r="AX287" s="30">
        <v>669</v>
      </c>
      <c r="AY287" s="30" t="s">
        <v>245</v>
      </c>
      <c r="AZ287" s="30" t="s">
        <v>245</v>
      </c>
      <c r="BA287" s="30" t="s">
        <v>245</v>
      </c>
      <c r="BB287" s="30" t="s">
        <v>245</v>
      </c>
      <c r="BC287" s="30" t="s">
        <v>245</v>
      </c>
      <c r="BD287" s="30">
        <v>49</v>
      </c>
      <c r="BE287" s="30">
        <v>61</v>
      </c>
      <c r="BF287" s="30" t="s">
        <v>245</v>
      </c>
      <c r="BG287" s="30" t="s">
        <v>2476</v>
      </c>
      <c r="BH287" s="30" t="str">
        <f>HYPERLINK("http://dx.doi.org/10.1016/j.scitotenv.2019.03.037","http://dx.doi.org/10.1016/j.scitotenv.2019.03.037")</f>
        <v>http://dx.doi.org/10.1016/j.scitotenv.2019.03.037</v>
      </c>
      <c r="BI287" s="30" t="s">
        <v>245</v>
      </c>
      <c r="BJ287" s="30" t="s">
        <v>245</v>
      </c>
      <c r="BK287" s="30" t="s">
        <v>245</v>
      </c>
      <c r="BL287" s="30" t="s">
        <v>245</v>
      </c>
      <c r="BM287" s="30" t="s">
        <v>245</v>
      </c>
      <c r="BN287" s="30" t="s">
        <v>245</v>
      </c>
      <c r="BO287" s="30" t="s">
        <v>245</v>
      </c>
      <c r="BP287" s="30">
        <v>30878940</v>
      </c>
      <c r="BQ287" s="30" t="s">
        <v>245</v>
      </c>
      <c r="BR287" s="30" t="s">
        <v>245</v>
      </c>
      <c r="BS287" s="30" t="s">
        <v>245</v>
      </c>
      <c r="BT287" s="30" t="s">
        <v>245</v>
      </c>
      <c r="BU287" s="30" t="s">
        <v>2477</v>
      </c>
      <c r="BV287" s="30" t="str">
        <f>HYPERLINK("https%3A%2F%2Fwww.webofscience.com%2Fwos%2Fwoscc%2Ffull-record%2FWOS:000463663500006","View Full Record in Web of Science")</f>
        <v>View Full Record in Web of Science</v>
      </c>
    </row>
    <row r="288" spans="1:74" x14ac:dyDescent="0.2">
      <c r="A288" s="30" t="s">
        <v>243</v>
      </c>
      <c r="B288" s="30" t="s">
        <v>2478</v>
      </c>
      <c r="C288" s="30" t="s">
        <v>245</v>
      </c>
      <c r="D288" s="30" t="s">
        <v>245</v>
      </c>
      <c r="E288" s="30" t="s">
        <v>245</v>
      </c>
      <c r="F288" s="30" t="s">
        <v>2478</v>
      </c>
      <c r="G288" s="30" t="s">
        <v>245</v>
      </c>
      <c r="H288" s="30" t="s">
        <v>245</v>
      </c>
      <c r="I288" s="30" t="s">
        <v>2836</v>
      </c>
      <c r="K288" s="30" t="s">
        <v>2479</v>
      </c>
      <c r="L288" s="30" t="s">
        <v>691</v>
      </c>
      <c r="M288" s="30" t="s">
        <v>245</v>
      </c>
      <c r="N288" s="30" t="s">
        <v>245</v>
      </c>
      <c r="O288" s="30" t="s">
        <v>245</v>
      </c>
      <c r="P288" s="30" t="s">
        <v>245</v>
      </c>
      <c r="Q288" s="30" t="s">
        <v>245</v>
      </c>
      <c r="R288" s="30" t="s">
        <v>245</v>
      </c>
      <c r="S288" s="30" t="s">
        <v>245</v>
      </c>
      <c r="T288" s="30" t="s">
        <v>245</v>
      </c>
      <c r="U288" s="30" t="s">
        <v>245</v>
      </c>
      <c r="V288" s="30" t="s">
        <v>245</v>
      </c>
      <c r="W288" s="30" t="s">
        <v>245</v>
      </c>
      <c r="X288" s="30" t="s">
        <v>245</v>
      </c>
      <c r="Y288" s="30" t="s">
        <v>245</v>
      </c>
      <c r="Z288" s="30" t="s">
        <v>245</v>
      </c>
      <c r="AA288" s="30" t="s">
        <v>245</v>
      </c>
      <c r="AB288" s="30" t="s">
        <v>245</v>
      </c>
      <c r="AC288" s="30" t="s">
        <v>2480</v>
      </c>
      <c r="AD288" s="30" t="s">
        <v>2481</v>
      </c>
      <c r="AE288" s="30" t="s">
        <v>245</v>
      </c>
      <c r="AF288" s="30" t="s">
        <v>245</v>
      </c>
      <c r="AG288" s="30" t="s">
        <v>245</v>
      </c>
      <c r="AH288" s="30" t="s">
        <v>245</v>
      </c>
      <c r="AI288" s="30" t="s">
        <v>245</v>
      </c>
      <c r="AJ288" s="30" t="s">
        <v>245</v>
      </c>
      <c r="AK288" s="30" t="s">
        <v>245</v>
      </c>
      <c r="AL288" s="30" t="s">
        <v>245</v>
      </c>
      <c r="AM288" s="30" t="s">
        <v>245</v>
      </c>
      <c r="AN288" s="30" t="s">
        <v>245</v>
      </c>
      <c r="AO288" s="30" t="s">
        <v>245</v>
      </c>
      <c r="AP288" s="30" t="s">
        <v>245</v>
      </c>
      <c r="AQ288" s="30" t="s">
        <v>692</v>
      </c>
      <c r="AR288" s="30" t="s">
        <v>245</v>
      </c>
      <c r="AS288" s="30" t="s">
        <v>245</v>
      </c>
      <c r="AT288" s="30" t="s">
        <v>245</v>
      </c>
      <c r="AU288" s="30" t="s">
        <v>245</v>
      </c>
      <c r="AV288" s="30" t="s">
        <v>2482</v>
      </c>
      <c r="AW288" s="30">
        <v>2005</v>
      </c>
      <c r="AX288" s="30">
        <v>89</v>
      </c>
      <c r="AY288" s="30">
        <v>11</v>
      </c>
      <c r="AZ288" s="30" t="s">
        <v>245</v>
      </c>
      <c r="BA288" s="30" t="s">
        <v>245</v>
      </c>
      <c r="BB288" s="30" t="s">
        <v>245</v>
      </c>
      <c r="BC288" s="30" t="s">
        <v>245</v>
      </c>
      <c r="BD288" s="30">
        <v>1904</v>
      </c>
      <c r="BE288" s="30">
        <v>1912</v>
      </c>
      <c r="BF288" s="30" t="s">
        <v>245</v>
      </c>
      <c r="BG288" s="30" t="s">
        <v>245</v>
      </c>
      <c r="BH288" s="30" t="s">
        <v>245</v>
      </c>
      <c r="BI288" s="30" t="s">
        <v>245</v>
      </c>
      <c r="BJ288" s="30" t="s">
        <v>245</v>
      </c>
      <c r="BK288" s="30" t="s">
        <v>245</v>
      </c>
      <c r="BL288" s="30" t="s">
        <v>245</v>
      </c>
      <c r="BM288" s="30" t="s">
        <v>245</v>
      </c>
      <c r="BN288" s="30" t="s">
        <v>245</v>
      </c>
      <c r="BO288" s="30" t="s">
        <v>245</v>
      </c>
      <c r="BP288" s="30" t="s">
        <v>245</v>
      </c>
      <c r="BQ288" s="30" t="s">
        <v>245</v>
      </c>
      <c r="BR288" s="30" t="s">
        <v>245</v>
      </c>
      <c r="BS288" s="30" t="s">
        <v>245</v>
      </c>
      <c r="BT288" s="30" t="s">
        <v>245</v>
      </c>
      <c r="BU288" s="30" t="s">
        <v>2483</v>
      </c>
      <c r="BV288" s="30" t="str">
        <f>HYPERLINK("https%3A%2F%2Fwww.webofscience.com%2Fwos%2Fwoscc%2Ffull-record%2FWOS:000234089000026","View Full Record in Web of Science")</f>
        <v>View Full Record in Web of Science</v>
      </c>
    </row>
    <row r="289" spans="1:74" x14ac:dyDescent="0.2">
      <c r="A289" s="30" t="s">
        <v>243</v>
      </c>
      <c r="B289" s="30" t="s">
        <v>2484</v>
      </c>
      <c r="C289" s="30" t="s">
        <v>245</v>
      </c>
      <c r="D289" s="30" t="s">
        <v>245</v>
      </c>
      <c r="E289" s="30" t="s">
        <v>245</v>
      </c>
      <c r="F289" s="30" t="s">
        <v>2485</v>
      </c>
      <c r="G289" s="30" t="s">
        <v>245</v>
      </c>
      <c r="H289" s="30" t="s">
        <v>245</v>
      </c>
      <c r="J289" s="30" t="s">
        <v>2837</v>
      </c>
      <c r="K289" s="30" t="s">
        <v>2486</v>
      </c>
      <c r="L289" s="30" t="s">
        <v>541</v>
      </c>
      <c r="M289" s="30" t="s">
        <v>245</v>
      </c>
      <c r="N289" s="30" t="s">
        <v>245</v>
      </c>
      <c r="O289" s="30" t="s">
        <v>245</v>
      </c>
      <c r="P289" s="30" t="s">
        <v>245</v>
      </c>
      <c r="Q289" s="30" t="s">
        <v>245</v>
      </c>
      <c r="R289" s="30" t="s">
        <v>245</v>
      </c>
      <c r="S289" s="30" t="s">
        <v>245</v>
      </c>
      <c r="T289" s="30" t="s">
        <v>245</v>
      </c>
      <c r="U289" s="30" t="s">
        <v>245</v>
      </c>
      <c r="V289" s="30" t="s">
        <v>245</v>
      </c>
      <c r="W289" s="30" t="s">
        <v>245</v>
      </c>
      <c r="X289" s="30" t="s">
        <v>245</v>
      </c>
      <c r="Y289" s="30" t="s">
        <v>245</v>
      </c>
      <c r="Z289" s="30" t="s">
        <v>245</v>
      </c>
      <c r="AA289" s="30" t="s">
        <v>245</v>
      </c>
      <c r="AB289" s="30" t="s">
        <v>245</v>
      </c>
      <c r="AC289" s="30" t="s">
        <v>2487</v>
      </c>
      <c r="AD289" s="30" t="s">
        <v>2488</v>
      </c>
      <c r="AE289" s="30" t="s">
        <v>245</v>
      </c>
      <c r="AF289" s="30" t="s">
        <v>245</v>
      </c>
      <c r="AG289" s="30" t="s">
        <v>245</v>
      </c>
      <c r="AH289" s="30" t="s">
        <v>245</v>
      </c>
      <c r="AI289" s="30" t="s">
        <v>245</v>
      </c>
      <c r="AJ289" s="30" t="s">
        <v>245</v>
      </c>
      <c r="AK289" s="30" t="s">
        <v>245</v>
      </c>
      <c r="AL289" s="30" t="s">
        <v>245</v>
      </c>
      <c r="AM289" s="30" t="s">
        <v>245</v>
      </c>
      <c r="AN289" s="30" t="s">
        <v>245</v>
      </c>
      <c r="AO289" s="30" t="s">
        <v>245</v>
      </c>
      <c r="AP289" s="30" t="s">
        <v>245</v>
      </c>
      <c r="AQ289" s="30" t="s">
        <v>544</v>
      </c>
      <c r="AR289" s="30" t="s">
        <v>545</v>
      </c>
      <c r="AS289" s="30" t="s">
        <v>245</v>
      </c>
      <c r="AT289" s="30" t="s">
        <v>245</v>
      </c>
      <c r="AU289" s="30" t="s">
        <v>245</v>
      </c>
      <c r="AV289" s="30" t="s">
        <v>635</v>
      </c>
      <c r="AW289" s="30">
        <v>2021</v>
      </c>
      <c r="AX289" s="30">
        <v>319</v>
      </c>
      <c r="AY289" s="30" t="s">
        <v>245</v>
      </c>
      <c r="AZ289" s="30" t="s">
        <v>245</v>
      </c>
      <c r="BA289" s="30" t="s">
        <v>245</v>
      </c>
      <c r="BB289" s="30" t="s">
        <v>245</v>
      </c>
      <c r="BC289" s="30" t="s">
        <v>245</v>
      </c>
      <c r="BD289" s="30" t="s">
        <v>245</v>
      </c>
      <c r="BE289" s="30" t="s">
        <v>245</v>
      </c>
      <c r="BF289" s="30">
        <v>107552</v>
      </c>
      <c r="BG289" s="30" t="s">
        <v>2489</v>
      </c>
      <c r="BH289" s="30" t="str">
        <f>HYPERLINK("http://dx.doi.org/10.1016/j.agee.2021.107552","http://dx.doi.org/10.1016/j.agee.2021.107552")</f>
        <v>http://dx.doi.org/10.1016/j.agee.2021.107552</v>
      </c>
      <c r="BI289" s="30" t="s">
        <v>245</v>
      </c>
      <c r="BJ289" s="30" t="s">
        <v>1328</v>
      </c>
      <c r="BK289" s="30" t="s">
        <v>245</v>
      </c>
      <c r="BL289" s="30" t="s">
        <v>245</v>
      </c>
      <c r="BM289" s="30" t="s">
        <v>245</v>
      </c>
      <c r="BN289" s="30" t="s">
        <v>245</v>
      </c>
      <c r="BO289" s="30" t="s">
        <v>245</v>
      </c>
      <c r="BP289" s="30" t="s">
        <v>245</v>
      </c>
      <c r="BQ289" s="30" t="s">
        <v>245</v>
      </c>
      <c r="BR289" s="30" t="s">
        <v>245</v>
      </c>
      <c r="BS289" s="30" t="s">
        <v>245</v>
      </c>
      <c r="BT289" s="30" t="s">
        <v>245</v>
      </c>
      <c r="BU289" s="30" t="s">
        <v>2490</v>
      </c>
      <c r="BV289" s="30" t="str">
        <f>HYPERLINK("https%3A%2F%2Fwww.webofscience.com%2Fwos%2Fwoscc%2Ffull-record%2FWOS:000681697600004","View Full Record in Web of Science")</f>
        <v>View Full Record in Web of Science</v>
      </c>
    </row>
    <row r="290" spans="1:74" x14ac:dyDescent="0.2">
      <c r="A290" s="30" t="s">
        <v>243</v>
      </c>
      <c r="B290" s="30" t="s">
        <v>2491</v>
      </c>
      <c r="C290" s="30" t="s">
        <v>245</v>
      </c>
      <c r="D290" s="30" t="s">
        <v>245</v>
      </c>
      <c r="E290" s="30" t="s">
        <v>245</v>
      </c>
      <c r="F290" s="30" t="s">
        <v>2492</v>
      </c>
      <c r="G290" s="30" t="s">
        <v>245</v>
      </c>
      <c r="H290" s="30" t="s">
        <v>245</v>
      </c>
      <c r="I290" s="30" t="s">
        <v>2826</v>
      </c>
      <c r="K290" s="30" t="s">
        <v>2493</v>
      </c>
      <c r="L290" s="30" t="s">
        <v>271</v>
      </c>
      <c r="M290" s="30" t="s">
        <v>245</v>
      </c>
      <c r="N290" s="30" t="s">
        <v>245</v>
      </c>
      <c r="O290" s="30" t="s">
        <v>245</v>
      </c>
      <c r="P290" s="30" t="s">
        <v>245</v>
      </c>
      <c r="Q290" s="30" t="s">
        <v>245</v>
      </c>
      <c r="R290" s="30" t="s">
        <v>245</v>
      </c>
      <c r="S290" s="30" t="s">
        <v>245</v>
      </c>
      <c r="T290" s="30" t="s">
        <v>245</v>
      </c>
      <c r="U290" s="30" t="s">
        <v>245</v>
      </c>
      <c r="V290" s="30" t="s">
        <v>245</v>
      </c>
      <c r="W290" s="30" t="s">
        <v>245</v>
      </c>
      <c r="X290" s="30" t="s">
        <v>245</v>
      </c>
      <c r="Y290" s="30" t="s">
        <v>245</v>
      </c>
      <c r="Z290" s="30" t="s">
        <v>245</v>
      </c>
      <c r="AA290" s="30" t="s">
        <v>245</v>
      </c>
      <c r="AB290" s="30" t="s">
        <v>245</v>
      </c>
      <c r="AC290" s="30" t="s">
        <v>2494</v>
      </c>
      <c r="AD290" s="30" t="s">
        <v>2495</v>
      </c>
      <c r="AE290" s="30" t="s">
        <v>245</v>
      </c>
      <c r="AF290" s="30" t="s">
        <v>245</v>
      </c>
      <c r="AG290" s="30" t="s">
        <v>245</v>
      </c>
      <c r="AH290" s="30" t="s">
        <v>245</v>
      </c>
      <c r="AI290" s="30" t="s">
        <v>245</v>
      </c>
      <c r="AJ290" s="30" t="s">
        <v>245</v>
      </c>
      <c r="AK290" s="30" t="s">
        <v>245</v>
      </c>
      <c r="AL290" s="30" t="s">
        <v>245</v>
      </c>
      <c r="AM290" s="30" t="s">
        <v>245</v>
      </c>
      <c r="AN290" s="30" t="s">
        <v>245</v>
      </c>
      <c r="AO290" s="30" t="s">
        <v>245</v>
      </c>
      <c r="AP290" s="30" t="s">
        <v>245</v>
      </c>
      <c r="AQ290" s="30" t="s">
        <v>274</v>
      </c>
      <c r="AR290" s="30" t="s">
        <v>275</v>
      </c>
      <c r="AS290" s="30" t="s">
        <v>245</v>
      </c>
      <c r="AT290" s="30" t="s">
        <v>245</v>
      </c>
      <c r="AU290" s="30" t="s">
        <v>245</v>
      </c>
      <c r="AV290" s="30" t="s">
        <v>770</v>
      </c>
      <c r="AW290" s="30">
        <v>2008</v>
      </c>
      <c r="AX290" s="30">
        <v>42</v>
      </c>
      <c r="AY290" s="30">
        <v>11</v>
      </c>
      <c r="AZ290" s="30" t="s">
        <v>245</v>
      </c>
      <c r="BA290" s="30" t="s">
        <v>245</v>
      </c>
      <c r="BB290" s="30" t="s">
        <v>245</v>
      </c>
      <c r="BC290" s="30" t="s">
        <v>245</v>
      </c>
      <c r="BD290" s="30">
        <v>3975</v>
      </c>
      <c r="BE290" s="30">
        <v>3981</v>
      </c>
      <c r="BF290" s="30" t="s">
        <v>245</v>
      </c>
      <c r="BG290" s="30" t="s">
        <v>2496</v>
      </c>
      <c r="BH290" s="30" t="str">
        <f>HYPERLINK("http://dx.doi.org/10.1021/es702390b","http://dx.doi.org/10.1021/es702390b")</f>
        <v>http://dx.doi.org/10.1021/es702390b</v>
      </c>
      <c r="BI290" s="30" t="s">
        <v>245</v>
      </c>
      <c r="BJ290" s="30" t="s">
        <v>245</v>
      </c>
      <c r="BK290" s="30" t="s">
        <v>245</v>
      </c>
      <c r="BL290" s="30" t="s">
        <v>245</v>
      </c>
      <c r="BM290" s="30" t="s">
        <v>245</v>
      </c>
      <c r="BN290" s="30" t="s">
        <v>245</v>
      </c>
      <c r="BO290" s="30" t="s">
        <v>245</v>
      </c>
      <c r="BP290" s="30">
        <v>18589954</v>
      </c>
      <c r="BQ290" s="30" t="s">
        <v>245</v>
      </c>
      <c r="BR290" s="30" t="s">
        <v>245</v>
      </c>
      <c r="BS290" s="30" t="s">
        <v>245</v>
      </c>
      <c r="BT290" s="30" t="s">
        <v>245</v>
      </c>
      <c r="BU290" s="30" t="s">
        <v>2497</v>
      </c>
      <c r="BV290" s="30" t="str">
        <f>HYPERLINK("https%3A%2F%2Fwww.webofscience.com%2Fwos%2Fwoscc%2Ffull-record%2FWOS:000256274300016","View Full Record in Web of Science")</f>
        <v>View Full Record in Web of Science</v>
      </c>
    </row>
    <row r="291" spans="1:74" x14ac:dyDescent="0.2">
      <c r="A291" s="30" t="s">
        <v>243</v>
      </c>
      <c r="B291" s="30" t="s">
        <v>2498</v>
      </c>
      <c r="C291" s="30" t="s">
        <v>245</v>
      </c>
      <c r="D291" s="30" t="s">
        <v>245</v>
      </c>
      <c r="E291" s="30" t="s">
        <v>245</v>
      </c>
      <c r="F291" s="30" t="s">
        <v>2499</v>
      </c>
      <c r="G291" s="30" t="s">
        <v>245</v>
      </c>
      <c r="H291" s="30" t="s">
        <v>245</v>
      </c>
      <c r="I291" s="30" t="s">
        <v>2823</v>
      </c>
      <c r="K291" s="30" t="s">
        <v>2500</v>
      </c>
      <c r="L291" s="30" t="s">
        <v>469</v>
      </c>
      <c r="M291" s="30" t="s">
        <v>245</v>
      </c>
      <c r="N291" s="30" t="s">
        <v>245</v>
      </c>
      <c r="O291" s="30" t="s">
        <v>245</v>
      </c>
      <c r="P291" s="30" t="s">
        <v>245</v>
      </c>
      <c r="Q291" s="30" t="s">
        <v>245</v>
      </c>
      <c r="R291" s="30" t="s">
        <v>245</v>
      </c>
      <c r="S291" s="30" t="s">
        <v>245</v>
      </c>
      <c r="T291" s="30" t="s">
        <v>245</v>
      </c>
      <c r="U291" s="30" t="s">
        <v>245</v>
      </c>
      <c r="V291" s="30" t="s">
        <v>245</v>
      </c>
      <c r="W291" s="30" t="s">
        <v>245</v>
      </c>
      <c r="X291" s="30" t="s">
        <v>245</v>
      </c>
      <c r="Y291" s="30" t="s">
        <v>245</v>
      </c>
      <c r="Z291" s="30" t="s">
        <v>245</v>
      </c>
      <c r="AA291" s="30" t="s">
        <v>245</v>
      </c>
      <c r="AB291" s="30" t="s">
        <v>245</v>
      </c>
      <c r="AC291" s="30" t="s">
        <v>2501</v>
      </c>
      <c r="AD291" s="30" t="s">
        <v>2502</v>
      </c>
      <c r="AE291" s="30" t="s">
        <v>245</v>
      </c>
      <c r="AF291" s="30" t="s">
        <v>245</v>
      </c>
      <c r="AG291" s="30" t="s">
        <v>245</v>
      </c>
      <c r="AH291" s="30" t="s">
        <v>245</v>
      </c>
      <c r="AI291" s="30" t="s">
        <v>245</v>
      </c>
      <c r="AJ291" s="30" t="s">
        <v>245</v>
      </c>
      <c r="AK291" s="30" t="s">
        <v>245</v>
      </c>
      <c r="AL291" s="30" t="s">
        <v>245</v>
      </c>
      <c r="AM291" s="30" t="s">
        <v>245</v>
      </c>
      <c r="AN291" s="30" t="s">
        <v>245</v>
      </c>
      <c r="AO291" s="30" t="s">
        <v>245</v>
      </c>
      <c r="AP291" s="30" t="s">
        <v>245</v>
      </c>
      <c r="AQ291" s="30" t="s">
        <v>472</v>
      </c>
      <c r="AR291" s="30" t="s">
        <v>473</v>
      </c>
      <c r="AS291" s="30" t="s">
        <v>245</v>
      </c>
      <c r="AT291" s="30" t="s">
        <v>245</v>
      </c>
      <c r="AU291" s="30" t="s">
        <v>245</v>
      </c>
      <c r="AV291" s="30" t="s">
        <v>550</v>
      </c>
      <c r="AW291" s="30">
        <v>2013</v>
      </c>
      <c r="AX291" s="30">
        <v>209</v>
      </c>
      <c r="AY291" s="30" t="s">
        <v>245</v>
      </c>
      <c r="AZ291" s="30" t="s">
        <v>245</v>
      </c>
      <c r="BA291" s="30" t="s">
        <v>245</v>
      </c>
      <c r="BB291" s="30" t="s">
        <v>245</v>
      </c>
      <c r="BC291" s="30" t="s">
        <v>245</v>
      </c>
      <c r="BD291" s="30">
        <v>41</v>
      </c>
      <c r="BE291" s="30">
        <v>49</v>
      </c>
      <c r="BF291" s="30" t="s">
        <v>245</v>
      </c>
      <c r="BG291" s="30" t="s">
        <v>2503</v>
      </c>
      <c r="BH291" s="30" t="str">
        <f>HYPERLINK("http://dx.doi.org/10.1016/j.geoderma.2013.05.025","http://dx.doi.org/10.1016/j.geoderma.2013.05.025")</f>
        <v>http://dx.doi.org/10.1016/j.geoderma.2013.05.025</v>
      </c>
      <c r="BI291" s="30" t="s">
        <v>245</v>
      </c>
      <c r="BJ291" s="30" t="s">
        <v>245</v>
      </c>
      <c r="BK291" s="30" t="s">
        <v>245</v>
      </c>
      <c r="BL291" s="30" t="s">
        <v>245</v>
      </c>
      <c r="BM291" s="30" t="s">
        <v>245</v>
      </c>
      <c r="BN291" s="30" t="s">
        <v>245</v>
      </c>
      <c r="BO291" s="30" t="s">
        <v>245</v>
      </c>
      <c r="BP291" s="30" t="s">
        <v>245</v>
      </c>
      <c r="BQ291" s="30" t="s">
        <v>245</v>
      </c>
      <c r="BR291" s="30" t="s">
        <v>245</v>
      </c>
      <c r="BS291" s="30" t="s">
        <v>245</v>
      </c>
      <c r="BT291" s="30" t="s">
        <v>245</v>
      </c>
      <c r="BU291" s="30" t="s">
        <v>2504</v>
      </c>
      <c r="BV291" s="30" t="str">
        <f>HYPERLINK("https%3A%2F%2Fwww.webofscience.com%2Fwos%2Fwoscc%2Ffull-record%2FWOS:000324014400005","View Full Record in Web of Science")</f>
        <v>View Full Record in Web of Science</v>
      </c>
    </row>
    <row r="292" spans="1:74" x14ac:dyDescent="0.2">
      <c r="A292" s="30" t="s">
        <v>243</v>
      </c>
      <c r="B292" s="30" t="s">
        <v>2505</v>
      </c>
      <c r="C292" s="30" t="s">
        <v>245</v>
      </c>
      <c r="D292" s="30" t="s">
        <v>245</v>
      </c>
      <c r="E292" s="30" t="s">
        <v>245</v>
      </c>
      <c r="F292" s="30" t="s">
        <v>2506</v>
      </c>
      <c r="G292" s="30" t="s">
        <v>245</v>
      </c>
      <c r="H292" s="30" t="s">
        <v>245</v>
      </c>
      <c r="I292" s="30" t="s">
        <v>2823</v>
      </c>
      <c r="K292" s="30" t="s">
        <v>2507</v>
      </c>
      <c r="L292" s="30" t="s">
        <v>784</v>
      </c>
      <c r="M292" s="30" t="s">
        <v>245</v>
      </c>
      <c r="N292" s="30" t="s">
        <v>245</v>
      </c>
      <c r="O292" s="30" t="s">
        <v>245</v>
      </c>
      <c r="P292" s="30" t="s">
        <v>245</v>
      </c>
      <c r="Q292" s="30" t="s">
        <v>245</v>
      </c>
      <c r="R292" s="30" t="s">
        <v>245</v>
      </c>
      <c r="S292" s="30" t="s">
        <v>245</v>
      </c>
      <c r="T292" s="30" t="s">
        <v>245</v>
      </c>
      <c r="U292" s="30" t="s">
        <v>245</v>
      </c>
      <c r="V292" s="30" t="s">
        <v>245</v>
      </c>
      <c r="W292" s="30" t="s">
        <v>245</v>
      </c>
      <c r="X292" s="30" t="s">
        <v>245</v>
      </c>
      <c r="Y292" s="30" t="s">
        <v>245</v>
      </c>
      <c r="Z292" s="30" t="s">
        <v>245</v>
      </c>
      <c r="AA292" s="30" t="s">
        <v>245</v>
      </c>
      <c r="AB292" s="30" t="s">
        <v>245</v>
      </c>
      <c r="AC292" s="30" t="s">
        <v>2508</v>
      </c>
      <c r="AD292" s="30" t="s">
        <v>2509</v>
      </c>
      <c r="AE292" s="30" t="s">
        <v>245</v>
      </c>
      <c r="AF292" s="30" t="s">
        <v>245</v>
      </c>
      <c r="AG292" s="30" t="s">
        <v>245</v>
      </c>
      <c r="AH292" s="30" t="s">
        <v>245</v>
      </c>
      <c r="AI292" s="30" t="s">
        <v>245</v>
      </c>
      <c r="AJ292" s="30" t="s">
        <v>245</v>
      </c>
      <c r="AK292" s="30" t="s">
        <v>245</v>
      </c>
      <c r="AL292" s="30" t="s">
        <v>245</v>
      </c>
      <c r="AM292" s="30" t="s">
        <v>245</v>
      </c>
      <c r="AN292" s="30" t="s">
        <v>245</v>
      </c>
      <c r="AO292" s="30" t="s">
        <v>245</v>
      </c>
      <c r="AP292" s="30" t="s">
        <v>245</v>
      </c>
      <c r="AQ292" s="30" t="s">
        <v>787</v>
      </c>
      <c r="AR292" s="30" t="s">
        <v>788</v>
      </c>
      <c r="AS292" s="30" t="s">
        <v>245</v>
      </c>
      <c r="AT292" s="30" t="s">
        <v>245</v>
      </c>
      <c r="AU292" s="30" t="s">
        <v>245</v>
      </c>
      <c r="AV292" s="30" t="s">
        <v>354</v>
      </c>
      <c r="AW292" s="30">
        <v>2015</v>
      </c>
      <c r="AX292" s="30">
        <v>21</v>
      </c>
      <c r="AY292" s="30">
        <v>4</v>
      </c>
      <c r="AZ292" s="30" t="s">
        <v>245</v>
      </c>
      <c r="BA292" s="30" t="s">
        <v>245</v>
      </c>
      <c r="BB292" s="30" t="s">
        <v>245</v>
      </c>
      <c r="BC292" s="30" t="s">
        <v>245</v>
      </c>
      <c r="BD292" s="30">
        <v>1567</v>
      </c>
      <c r="BE292" s="30">
        <v>1580</v>
      </c>
      <c r="BF292" s="30" t="s">
        <v>245</v>
      </c>
      <c r="BG292" s="30" t="s">
        <v>2510</v>
      </c>
      <c r="BH292" s="30" t="str">
        <f>HYPERLINK("http://dx.doi.org/10.1111/gcb.12797","http://dx.doi.org/10.1111/gcb.12797")</f>
        <v>http://dx.doi.org/10.1111/gcb.12797</v>
      </c>
      <c r="BI292" s="30" t="s">
        <v>245</v>
      </c>
      <c r="BJ292" s="30" t="s">
        <v>245</v>
      </c>
      <c r="BK292" s="30" t="s">
        <v>245</v>
      </c>
      <c r="BL292" s="30" t="s">
        <v>245</v>
      </c>
      <c r="BM292" s="30" t="s">
        <v>245</v>
      </c>
      <c r="BN292" s="30" t="s">
        <v>245</v>
      </c>
      <c r="BO292" s="30" t="s">
        <v>245</v>
      </c>
      <c r="BP292" s="30">
        <v>25367159</v>
      </c>
      <c r="BQ292" s="30" t="s">
        <v>245</v>
      </c>
      <c r="BR292" s="30" t="s">
        <v>245</v>
      </c>
      <c r="BS292" s="30" t="s">
        <v>245</v>
      </c>
      <c r="BT292" s="30" t="s">
        <v>245</v>
      </c>
      <c r="BU292" s="30" t="s">
        <v>2511</v>
      </c>
      <c r="BV292" s="30" t="str">
        <f>HYPERLINK("https%3A%2F%2Fwww.webofscience.com%2Fwos%2Fwoscc%2Ffull-record%2FWOS:000351214100019","View Full Record in Web of Science")</f>
        <v>View Full Record in Web of Science</v>
      </c>
    </row>
    <row r="293" spans="1:74" x14ac:dyDescent="0.2">
      <c r="A293" s="30" t="s">
        <v>243</v>
      </c>
      <c r="B293" s="30" t="s">
        <v>2512</v>
      </c>
      <c r="C293" s="30" t="s">
        <v>245</v>
      </c>
      <c r="D293" s="30" t="s">
        <v>245</v>
      </c>
      <c r="E293" s="30" t="s">
        <v>245</v>
      </c>
      <c r="F293" s="30" t="s">
        <v>2513</v>
      </c>
      <c r="G293" s="30" t="s">
        <v>245</v>
      </c>
      <c r="H293" s="30" t="s">
        <v>245</v>
      </c>
      <c r="I293" s="30" t="s">
        <v>2823</v>
      </c>
      <c r="K293" s="30" t="s">
        <v>2514</v>
      </c>
      <c r="L293" s="30" t="s">
        <v>2515</v>
      </c>
      <c r="M293" s="30" t="s">
        <v>245</v>
      </c>
      <c r="N293" s="30" t="s">
        <v>245</v>
      </c>
      <c r="O293" s="30" t="s">
        <v>245</v>
      </c>
      <c r="P293" s="30" t="s">
        <v>245</v>
      </c>
      <c r="Q293" s="30" t="s">
        <v>245</v>
      </c>
      <c r="R293" s="30" t="s">
        <v>245</v>
      </c>
      <c r="S293" s="30" t="s">
        <v>245</v>
      </c>
      <c r="T293" s="30" t="s">
        <v>245</v>
      </c>
      <c r="U293" s="30" t="s">
        <v>245</v>
      </c>
      <c r="V293" s="30" t="s">
        <v>245</v>
      </c>
      <c r="W293" s="30" t="s">
        <v>245</v>
      </c>
      <c r="X293" s="30" t="s">
        <v>245</v>
      </c>
      <c r="Y293" s="30" t="s">
        <v>245</v>
      </c>
      <c r="Z293" s="30" t="s">
        <v>245</v>
      </c>
      <c r="AA293" s="30" t="s">
        <v>245</v>
      </c>
      <c r="AB293" s="30" t="s">
        <v>245</v>
      </c>
      <c r="AC293" s="30" t="s">
        <v>2516</v>
      </c>
      <c r="AD293" s="30" t="s">
        <v>2517</v>
      </c>
      <c r="AE293" s="30" t="s">
        <v>245</v>
      </c>
      <c r="AF293" s="30" t="s">
        <v>245</v>
      </c>
      <c r="AG293" s="30" t="s">
        <v>245</v>
      </c>
      <c r="AH293" s="30" t="s">
        <v>245</v>
      </c>
      <c r="AI293" s="30" t="s">
        <v>245</v>
      </c>
      <c r="AJ293" s="30" t="s">
        <v>245</v>
      </c>
      <c r="AK293" s="30" t="s">
        <v>245</v>
      </c>
      <c r="AL293" s="30" t="s">
        <v>245</v>
      </c>
      <c r="AM293" s="30" t="s">
        <v>245</v>
      </c>
      <c r="AN293" s="30" t="s">
        <v>245</v>
      </c>
      <c r="AO293" s="30" t="s">
        <v>245</v>
      </c>
      <c r="AP293" s="30" t="s">
        <v>245</v>
      </c>
      <c r="AQ293" s="30" t="s">
        <v>245</v>
      </c>
      <c r="AR293" s="30" t="s">
        <v>2518</v>
      </c>
      <c r="AS293" s="30" t="s">
        <v>245</v>
      </c>
      <c r="AT293" s="30" t="s">
        <v>245</v>
      </c>
      <c r="AU293" s="30" t="s">
        <v>245</v>
      </c>
      <c r="AV293" s="30" t="s">
        <v>646</v>
      </c>
      <c r="AW293" s="30">
        <v>2024</v>
      </c>
      <c r="AX293" s="30">
        <v>5</v>
      </c>
      <c r="AY293" s="30">
        <v>7</v>
      </c>
      <c r="AZ293" s="30" t="s">
        <v>245</v>
      </c>
      <c r="BA293" s="30" t="s">
        <v>245</v>
      </c>
      <c r="BB293" s="30" t="s">
        <v>245</v>
      </c>
      <c r="BC293" s="30" t="s">
        <v>245</v>
      </c>
      <c r="BD293" s="30" t="s">
        <v>245</v>
      </c>
      <c r="BE293" s="30" t="s">
        <v>245</v>
      </c>
      <c r="BF293" s="30" t="s">
        <v>245</v>
      </c>
      <c r="BG293" s="30" t="s">
        <v>2519</v>
      </c>
      <c r="BH293" s="30" t="str">
        <f>HYPERLINK("http://dx.doi.org/10.1038/s43016-024-01004-y","http://dx.doi.org/10.1038/s43016-024-01004-y")</f>
        <v>http://dx.doi.org/10.1038/s43016-024-01004-y</v>
      </c>
      <c r="BI293" s="30" t="s">
        <v>245</v>
      </c>
      <c r="BJ293" s="30" t="s">
        <v>2459</v>
      </c>
      <c r="BK293" s="30" t="s">
        <v>245</v>
      </c>
      <c r="BL293" s="30" t="s">
        <v>245</v>
      </c>
      <c r="BM293" s="30" t="s">
        <v>245</v>
      </c>
      <c r="BN293" s="30" t="s">
        <v>245</v>
      </c>
      <c r="BO293" s="30" t="s">
        <v>245</v>
      </c>
      <c r="BP293" s="30">
        <v>38907010</v>
      </c>
      <c r="BQ293" s="30" t="s">
        <v>245</v>
      </c>
      <c r="BR293" s="30" t="s">
        <v>245</v>
      </c>
      <c r="BS293" s="30" t="s">
        <v>245</v>
      </c>
      <c r="BT293" s="30" t="s">
        <v>245</v>
      </c>
      <c r="BU293" s="30" t="s">
        <v>2520</v>
      </c>
      <c r="BV293" s="30" t="str">
        <f>HYPERLINK("https%3A%2F%2Fwww.webofscience.com%2Fwos%2Fwoscc%2Ffull-record%2FWOS:001252347900002","View Full Record in Web of Science")</f>
        <v>View Full Record in Web of Science</v>
      </c>
    </row>
    <row r="294" spans="1:74" x14ac:dyDescent="0.2">
      <c r="A294" s="30" t="s">
        <v>243</v>
      </c>
      <c r="B294" s="30" t="s">
        <v>2521</v>
      </c>
      <c r="C294" s="30" t="s">
        <v>245</v>
      </c>
      <c r="D294" s="30" t="s">
        <v>245</v>
      </c>
      <c r="E294" s="30" t="s">
        <v>245</v>
      </c>
      <c r="F294" s="30" t="s">
        <v>2522</v>
      </c>
      <c r="G294" s="30" t="s">
        <v>245</v>
      </c>
      <c r="H294" s="30" t="s">
        <v>245</v>
      </c>
      <c r="I294" s="30" t="s">
        <v>2838</v>
      </c>
      <c r="K294" s="30" t="s">
        <v>2523</v>
      </c>
      <c r="L294" s="30" t="s">
        <v>413</v>
      </c>
      <c r="M294" s="30" t="s">
        <v>245</v>
      </c>
      <c r="N294" s="30" t="s">
        <v>245</v>
      </c>
      <c r="O294" s="30" t="s">
        <v>245</v>
      </c>
      <c r="P294" s="30" t="s">
        <v>245</v>
      </c>
      <c r="Q294" s="30" t="s">
        <v>245</v>
      </c>
      <c r="R294" s="30" t="s">
        <v>245</v>
      </c>
      <c r="S294" s="30" t="s">
        <v>245</v>
      </c>
      <c r="T294" s="30" t="s">
        <v>245</v>
      </c>
      <c r="U294" s="30" t="s">
        <v>245</v>
      </c>
      <c r="V294" s="30" t="s">
        <v>245</v>
      </c>
      <c r="W294" s="30" t="s">
        <v>245</v>
      </c>
      <c r="X294" s="30" t="s">
        <v>245</v>
      </c>
      <c r="Y294" s="30" t="s">
        <v>245</v>
      </c>
      <c r="Z294" s="30" t="s">
        <v>245</v>
      </c>
      <c r="AA294" s="30" t="s">
        <v>245</v>
      </c>
      <c r="AB294" s="30" t="s">
        <v>245</v>
      </c>
      <c r="AC294" s="30" t="s">
        <v>2419</v>
      </c>
      <c r="AD294" s="30" t="s">
        <v>2524</v>
      </c>
      <c r="AE294" s="30" t="s">
        <v>245</v>
      </c>
      <c r="AF294" s="30" t="s">
        <v>245</v>
      </c>
      <c r="AG294" s="30" t="s">
        <v>245</v>
      </c>
      <c r="AH294" s="30" t="s">
        <v>245</v>
      </c>
      <c r="AI294" s="30" t="s">
        <v>245</v>
      </c>
      <c r="AJ294" s="30" t="s">
        <v>245</v>
      </c>
      <c r="AK294" s="30" t="s">
        <v>245</v>
      </c>
      <c r="AL294" s="30" t="s">
        <v>245</v>
      </c>
      <c r="AM294" s="30" t="s">
        <v>245</v>
      </c>
      <c r="AN294" s="30" t="s">
        <v>245</v>
      </c>
      <c r="AO294" s="30" t="s">
        <v>245</v>
      </c>
      <c r="AP294" s="30" t="s">
        <v>245</v>
      </c>
      <c r="AQ294" s="30" t="s">
        <v>416</v>
      </c>
      <c r="AR294" s="30" t="s">
        <v>417</v>
      </c>
      <c r="AS294" s="30" t="s">
        <v>245</v>
      </c>
      <c r="AT294" s="30" t="s">
        <v>245</v>
      </c>
      <c r="AU294" s="30" t="s">
        <v>245</v>
      </c>
      <c r="AV294" s="30" t="s">
        <v>2183</v>
      </c>
      <c r="AW294" s="30">
        <v>2021</v>
      </c>
      <c r="AX294" s="30">
        <v>767</v>
      </c>
      <c r="AY294" s="30" t="s">
        <v>245</v>
      </c>
      <c r="AZ294" s="30" t="s">
        <v>245</v>
      </c>
      <c r="BA294" s="30" t="s">
        <v>245</v>
      </c>
      <c r="BB294" s="30" t="s">
        <v>245</v>
      </c>
      <c r="BC294" s="30" t="s">
        <v>245</v>
      </c>
      <c r="BD294" s="30" t="s">
        <v>245</v>
      </c>
      <c r="BE294" s="30" t="s">
        <v>245</v>
      </c>
      <c r="BF294" s="30">
        <v>144210</v>
      </c>
      <c r="BG294" s="30" t="s">
        <v>2525</v>
      </c>
      <c r="BH294" s="30" t="str">
        <f>HYPERLINK("http://dx.doi.org/10.1016/j.scitotenv.2020.144210","http://dx.doi.org/10.1016/j.scitotenv.2020.144210")</f>
        <v>http://dx.doi.org/10.1016/j.scitotenv.2020.144210</v>
      </c>
      <c r="BI294" s="30" t="s">
        <v>245</v>
      </c>
      <c r="BJ294" s="30" t="s">
        <v>1530</v>
      </c>
      <c r="BK294" s="30" t="s">
        <v>245</v>
      </c>
      <c r="BL294" s="30" t="s">
        <v>245</v>
      </c>
      <c r="BM294" s="30" t="s">
        <v>245</v>
      </c>
      <c r="BN294" s="30" t="s">
        <v>245</v>
      </c>
      <c r="BO294" s="30" t="s">
        <v>245</v>
      </c>
      <c r="BP294" s="30">
        <v>33429280</v>
      </c>
      <c r="BQ294" s="30" t="s">
        <v>245</v>
      </c>
      <c r="BR294" s="30" t="s">
        <v>245</v>
      </c>
      <c r="BS294" s="30" t="s">
        <v>245</v>
      </c>
      <c r="BT294" s="30" t="s">
        <v>245</v>
      </c>
      <c r="BU294" s="30" t="s">
        <v>2526</v>
      </c>
      <c r="BV294" s="30" t="str">
        <f>HYPERLINK("https%3A%2F%2Fwww.webofscience.com%2Fwos%2Fwoscc%2Ffull-record%2FWOS:000617681100004","View Full Record in Web of Science")</f>
        <v>View Full Record in Web of Science</v>
      </c>
    </row>
    <row r="295" spans="1:74" x14ac:dyDescent="0.2">
      <c r="A295" s="30" t="s">
        <v>851</v>
      </c>
      <c r="B295" s="30" t="s">
        <v>2527</v>
      </c>
      <c r="C295" s="30" t="s">
        <v>245</v>
      </c>
      <c r="D295" s="30" t="s">
        <v>2528</v>
      </c>
      <c r="E295" s="30" t="s">
        <v>245</v>
      </c>
      <c r="F295" s="30" t="s">
        <v>2529</v>
      </c>
      <c r="G295" s="30" t="s">
        <v>245</v>
      </c>
      <c r="H295" s="30" t="s">
        <v>245</v>
      </c>
      <c r="K295" s="30" t="s">
        <v>2530</v>
      </c>
      <c r="L295" s="30" t="s">
        <v>2531</v>
      </c>
      <c r="M295" s="30" t="s">
        <v>245</v>
      </c>
      <c r="N295" s="30" t="s">
        <v>245</v>
      </c>
      <c r="O295" s="30" t="s">
        <v>245</v>
      </c>
      <c r="P295" s="30" t="s">
        <v>245</v>
      </c>
      <c r="Q295" s="30" t="s">
        <v>2532</v>
      </c>
      <c r="R295" s="30" t="s">
        <v>2533</v>
      </c>
      <c r="S295" s="30" t="s">
        <v>2534</v>
      </c>
      <c r="T295" s="30" t="s">
        <v>2535</v>
      </c>
      <c r="U295" s="30" t="s">
        <v>2536</v>
      </c>
      <c r="V295" s="30" t="s">
        <v>245</v>
      </c>
      <c r="W295" s="30" t="s">
        <v>245</v>
      </c>
      <c r="X295" s="30" t="s">
        <v>245</v>
      </c>
      <c r="Y295" s="30" t="s">
        <v>245</v>
      </c>
      <c r="Z295" s="30" t="s">
        <v>245</v>
      </c>
      <c r="AA295" s="30" t="s">
        <v>245</v>
      </c>
      <c r="AB295" s="30" t="s">
        <v>245</v>
      </c>
      <c r="AC295" s="30" t="s">
        <v>2537</v>
      </c>
      <c r="AD295" s="30" t="s">
        <v>2538</v>
      </c>
      <c r="AE295" s="30" t="s">
        <v>245</v>
      </c>
      <c r="AF295" s="30" t="s">
        <v>245</v>
      </c>
      <c r="AG295" s="30" t="s">
        <v>245</v>
      </c>
      <c r="AH295" s="30" t="s">
        <v>245</v>
      </c>
      <c r="AI295" s="30" t="s">
        <v>245</v>
      </c>
      <c r="AJ295" s="30" t="s">
        <v>245</v>
      </c>
      <c r="AK295" s="30" t="s">
        <v>245</v>
      </c>
      <c r="AL295" s="30" t="s">
        <v>245</v>
      </c>
      <c r="AM295" s="30" t="s">
        <v>245</v>
      </c>
      <c r="AN295" s="30" t="s">
        <v>245</v>
      </c>
      <c r="AO295" s="30" t="s">
        <v>245</v>
      </c>
      <c r="AP295" s="30" t="s">
        <v>245</v>
      </c>
      <c r="AQ295" s="30" t="s">
        <v>245</v>
      </c>
      <c r="AR295" s="30" t="s">
        <v>245</v>
      </c>
      <c r="AS295" s="30" t="s">
        <v>2539</v>
      </c>
      <c r="AT295" s="30" t="s">
        <v>245</v>
      </c>
      <c r="AU295" s="30" t="s">
        <v>245</v>
      </c>
      <c r="AV295" s="30" t="s">
        <v>245</v>
      </c>
      <c r="AW295" s="30">
        <v>2020</v>
      </c>
      <c r="AX295" s="30" t="s">
        <v>245</v>
      </c>
      <c r="AY295" s="30" t="s">
        <v>245</v>
      </c>
      <c r="AZ295" s="30" t="s">
        <v>245</v>
      </c>
      <c r="BA295" s="30" t="s">
        <v>245</v>
      </c>
      <c r="BB295" s="30" t="s">
        <v>245</v>
      </c>
      <c r="BC295" s="30" t="s">
        <v>245</v>
      </c>
      <c r="BD295" s="30">
        <v>33</v>
      </c>
      <c r="BE295" s="30">
        <v>40</v>
      </c>
      <c r="BF295" s="30" t="s">
        <v>245</v>
      </c>
      <c r="BG295" s="30" t="s">
        <v>245</v>
      </c>
      <c r="BH295" s="30" t="s">
        <v>245</v>
      </c>
      <c r="BI295" s="30" t="s">
        <v>245</v>
      </c>
      <c r="BJ295" s="30" t="s">
        <v>245</v>
      </c>
      <c r="BK295" s="30" t="s">
        <v>245</v>
      </c>
      <c r="BL295" s="30" t="s">
        <v>245</v>
      </c>
      <c r="BM295" s="30" t="s">
        <v>245</v>
      </c>
      <c r="BN295" s="30" t="s">
        <v>245</v>
      </c>
      <c r="BO295" s="30" t="s">
        <v>245</v>
      </c>
      <c r="BP295" s="30" t="s">
        <v>245</v>
      </c>
      <c r="BQ295" s="30" t="s">
        <v>245</v>
      </c>
      <c r="BR295" s="30" t="s">
        <v>245</v>
      </c>
      <c r="BS295" s="30" t="s">
        <v>245</v>
      </c>
      <c r="BT295" s="30" t="s">
        <v>245</v>
      </c>
      <c r="BU295" s="30" t="s">
        <v>2540</v>
      </c>
      <c r="BV295" s="30" t="str">
        <f>HYPERLINK("https%3A%2F%2Fwww.webofscience.com%2Fwos%2Fwoscc%2Ffull-record%2FWOS:000661271100005","View Full Record in Web of Science")</f>
        <v>View Full Record in Web of Science</v>
      </c>
    </row>
    <row r="296" spans="1:74" x14ac:dyDescent="0.2">
      <c r="A296" s="30" t="s">
        <v>243</v>
      </c>
      <c r="B296" s="30" t="s">
        <v>2541</v>
      </c>
      <c r="C296" s="30" t="s">
        <v>245</v>
      </c>
      <c r="D296" s="30" t="s">
        <v>245</v>
      </c>
      <c r="E296" s="30" t="s">
        <v>245</v>
      </c>
      <c r="F296" s="30" t="s">
        <v>2541</v>
      </c>
      <c r="G296" s="30" t="s">
        <v>245</v>
      </c>
      <c r="H296" s="30" t="s">
        <v>245</v>
      </c>
      <c r="I296" s="30" t="s">
        <v>2838</v>
      </c>
      <c r="K296" s="30" t="s">
        <v>2542</v>
      </c>
      <c r="L296" s="30" t="s">
        <v>2543</v>
      </c>
      <c r="M296" s="30" t="s">
        <v>245</v>
      </c>
      <c r="N296" s="30" t="s">
        <v>245</v>
      </c>
      <c r="O296" s="30" t="s">
        <v>245</v>
      </c>
      <c r="P296" s="30" t="s">
        <v>245</v>
      </c>
      <c r="Q296" s="30" t="s">
        <v>245</v>
      </c>
      <c r="R296" s="30" t="s">
        <v>245</v>
      </c>
      <c r="S296" s="30" t="s">
        <v>245</v>
      </c>
      <c r="T296" s="30" t="s">
        <v>245</v>
      </c>
      <c r="U296" s="30" t="s">
        <v>245</v>
      </c>
      <c r="V296" s="30" t="s">
        <v>245</v>
      </c>
      <c r="W296" s="30" t="s">
        <v>245</v>
      </c>
      <c r="X296" s="30" t="s">
        <v>245</v>
      </c>
      <c r="Y296" s="30" t="s">
        <v>245</v>
      </c>
      <c r="Z296" s="30" t="s">
        <v>245</v>
      </c>
      <c r="AA296" s="30" t="s">
        <v>245</v>
      </c>
      <c r="AB296" s="30" t="s">
        <v>245</v>
      </c>
      <c r="AC296" s="30" t="s">
        <v>2544</v>
      </c>
      <c r="AD296" s="30" t="s">
        <v>2545</v>
      </c>
      <c r="AE296" s="30" t="s">
        <v>245</v>
      </c>
      <c r="AF296" s="30" t="s">
        <v>245</v>
      </c>
      <c r="AG296" s="30" t="s">
        <v>245</v>
      </c>
      <c r="AH296" s="30" t="s">
        <v>245</v>
      </c>
      <c r="AI296" s="30" t="s">
        <v>245</v>
      </c>
      <c r="AJ296" s="30" t="s">
        <v>245</v>
      </c>
      <c r="AK296" s="30" t="s">
        <v>245</v>
      </c>
      <c r="AL296" s="30" t="s">
        <v>245</v>
      </c>
      <c r="AM296" s="30" t="s">
        <v>245</v>
      </c>
      <c r="AN296" s="30" t="s">
        <v>245</v>
      </c>
      <c r="AO296" s="30" t="s">
        <v>245</v>
      </c>
      <c r="AP296" s="30" t="s">
        <v>245</v>
      </c>
      <c r="AQ296" s="30" t="s">
        <v>2546</v>
      </c>
      <c r="AR296" s="30" t="s">
        <v>2547</v>
      </c>
      <c r="AS296" s="30" t="s">
        <v>245</v>
      </c>
      <c r="AT296" s="30" t="s">
        <v>245</v>
      </c>
      <c r="AU296" s="30" t="s">
        <v>245</v>
      </c>
      <c r="AV296" s="30" t="s">
        <v>435</v>
      </c>
      <c r="AW296" s="30">
        <v>2005</v>
      </c>
      <c r="AX296" s="30">
        <v>55</v>
      </c>
      <c r="AY296" s="30" t="s">
        <v>245</v>
      </c>
      <c r="AZ296" s="30">
        <v>3</v>
      </c>
      <c r="BA296" s="30" t="s">
        <v>245</v>
      </c>
      <c r="BB296" s="30" t="s">
        <v>245</v>
      </c>
      <c r="BC296" s="30" t="s">
        <v>245</v>
      </c>
      <c r="BD296" s="30">
        <v>1255</v>
      </c>
      <c r="BE296" s="30">
        <v>1265</v>
      </c>
      <c r="BF296" s="30" t="s">
        <v>245</v>
      </c>
      <c r="BG296" s="30" t="s">
        <v>2548</v>
      </c>
      <c r="BH296" s="30" t="str">
        <f>HYPERLINK("http://dx.doi.org/10.1099/ijs.0.63484-0","http://dx.doi.org/10.1099/ijs.0.63484-0")</f>
        <v>http://dx.doi.org/10.1099/ijs.0.63484-0</v>
      </c>
      <c r="BI296" s="30" t="s">
        <v>245</v>
      </c>
      <c r="BJ296" s="30" t="s">
        <v>245</v>
      </c>
      <c r="BK296" s="30" t="s">
        <v>245</v>
      </c>
      <c r="BL296" s="30" t="s">
        <v>245</v>
      </c>
      <c r="BM296" s="30" t="s">
        <v>245</v>
      </c>
      <c r="BN296" s="30" t="s">
        <v>245</v>
      </c>
      <c r="BO296" s="30" t="s">
        <v>245</v>
      </c>
      <c r="BP296" s="30">
        <v>15879265</v>
      </c>
      <c r="BQ296" s="30" t="s">
        <v>245</v>
      </c>
      <c r="BR296" s="30" t="s">
        <v>245</v>
      </c>
      <c r="BS296" s="30" t="s">
        <v>245</v>
      </c>
      <c r="BT296" s="30" t="s">
        <v>245</v>
      </c>
      <c r="BU296" s="30" t="s">
        <v>2549</v>
      </c>
      <c r="BV296" s="30" t="str">
        <f>HYPERLINK("https%3A%2F%2Fwww.webofscience.com%2Fwos%2Fwoscc%2Ffull-record%2FWOS:000229362700043","View Full Record in Web of Science")</f>
        <v>View Full Record in Web of Science</v>
      </c>
    </row>
    <row r="297" spans="1:74" x14ac:dyDescent="0.2">
      <c r="A297" s="30" t="s">
        <v>243</v>
      </c>
      <c r="B297" s="30" t="s">
        <v>2550</v>
      </c>
      <c r="C297" s="30" t="s">
        <v>245</v>
      </c>
      <c r="D297" s="30" t="s">
        <v>245</v>
      </c>
      <c r="E297" s="30" t="s">
        <v>245</v>
      </c>
      <c r="F297" s="30" t="s">
        <v>2551</v>
      </c>
      <c r="G297" s="30" t="s">
        <v>245</v>
      </c>
      <c r="H297" s="30" t="s">
        <v>245</v>
      </c>
      <c r="I297" s="30" t="s">
        <v>2839</v>
      </c>
      <c r="K297" s="30" t="s">
        <v>2552</v>
      </c>
      <c r="L297" s="30" t="s">
        <v>1591</v>
      </c>
      <c r="M297" s="30" t="s">
        <v>245</v>
      </c>
      <c r="N297" s="30" t="s">
        <v>245</v>
      </c>
      <c r="O297" s="30" t="s">
        <v>245</v>
      </c>
      <c r="P297" s="30" t="s">
        <v>245</v>
      </c>
      <c r="Q297" s="30" t="s">
        <v>245</v>
      </c>
      <c r="R297" s="30" t="s">
        <v>245</v>
      </c>
      <c r="S297" s="30" t="s">
        <v>245</v>
      </c>
      <c r="T297" s="30" t="s">
        <v>245</v>
      </c>
      <c r="U297" s="30" t="s">
        <v>245</v>
      </c>
      <c r="V297" s="30" t="s">
        <v>245</v>
      </c>
      <c r="W297" s="30" t="s">
        <v>245</v>
      </c>
      <c r="X297" s="30" t="s">
        <v>245</v>
      </c>
      <c r="Y297" s="30" t="s">
        <v>245</v>
      </c>
      <c r="Z297" s="30" t="s">
        <v>245</v>
      </c>
      <c r="AA297" s="30" t="s">
        <v>245</v>
      </c>
      <c r="AB297" s="30" t="s">
        <v>245</v>
      </c>
      <c r="AC297" s="30" t="s">
        <v>2553</v>
      </c>
      <c r="AD297" s="30" t="s">
        <v>2554</v>
      </c>
      <c r="AE297" s="30" t="s">
        <v>245</v>
      </c>
      <c r="AF297" s="30" t="s">
        <v>245</v>
      </c>
      <c r="AG297" s="30" t="s">
        <v>245</v>
      </c>
      <c r="AH297" s="30" t="s">
        <v>245</v>
      </c>
      <c r="AI297" s="30" t="s">
        <v>245</v>
      </c>
      <c r="AJ297" s="30" t="s">
        <v>245</v>
      </c>
      <c r="AK297" s="30" t="s">
        <v>245</v>
      </c>
      <c r="AL297" s="30" t="s">
        <v>245</v>
      </c>
      <c r="AM297" s="30" t="s">
        <v>245</v>
      </c>
      <c r="AN297" s="30" t="s">
        <v>245</v>
      </c>
      <c r="AO297" s="30" t="s">
        <v>245</v>
      </c>
      <c r="AP297" s="30" t="s">
        <v>245</v>
      </c>
      <c r="AQ297" s="30" t="s">
        <v>1593</v>
      </c>
      <c r="AR297" s="30" t="s">
        <v>1594</v>
      </c>
      <c r="AS297" s="30" t="s">
        <v>245</v>
      </c>
      <c r="AT297" s="30" t="s">
        <v>245</v>
      </c>
      <c r="AU297" s="30" t="s">
        <v>245</v>
      </c>
      <c r="AV297" s="30" t="s">
        <v>1357</v>
      </c>
      <c r="AW297" s="30">
        <v>2023</v>
      </c>
      <c r="AX297" s="30">
        <v>285</v>
      </c>
      <c r="AY297" s="30" t="s">
        <v>245</v>
      </c>
      <c r="AZ297" s="30" t="s">
        <v>245</v>
      </c>
      <c r="BA297" s="30" t="s">
        <v>245</v>
      </c>
      <c r="BB297" s="30" t="s">
        <v>245</v>
      </c>
      <c r="BC297" s="30" t="s">
        <v>245</v>
      </c>
      <c r="BD297" s="30" t="s">
        <v>245</v>
      </c>
      <c r="BE297" s="30" t="s">
        <v>245</v>
      </c>
      <c r="BF297" s="30">
        <v>108380</v>
      </c>
      <c r="BG297" s="30" t="s">
        <v>2555</v>
      </c>
      <c r="BH297" s="30" t="str">
        <f>HYPERLINK("http://dx.doi.org/10.1016/j.agwat.2023.108380","http://dx.doi.org/10.1016/j.agwat.2023.108380")</f>
        <v>http://dx.doi.org/10.1016/j.agwat.2023.108380</v>
      </c>
      <c r="BI297" s="30" t="s">
        <v>245</v>
      </c>
      <c r="BJ297" s="30" t="s">
        <v>1202</v>
      </c>
      <c r="BK297" s="30" t="s">
        <v>245</v>
      </c>
      <c r="BL297" s="30" t="s">
        <v>245</v>
      </c>
      <c r="BM297" s="30" t="s">
        <v>245</v>
      </c>
      <c r="BN297" s="30" t="s">
        <v>245</v>
      </c>
      <c r="BO297" s="30" t="s">
        <v>245</v>
      </c>
      <c r="BP297" s="30" t="s">
        <v>245</v>
      </c>
      <c r="BQ297" s="30" t="s">
        <v>245</v>
      </c>
      <c r="BR297" s="30" t="s">
        <v>245</v>
      </c>
      <c r="BS297" s="30" t="s">
        <v>245</v>
      </c>
      <c r="BT297" s="30" t="s">
        <v>245</v>
      </c>
      <c r="BU297" s="30" t="s">
        <v>2556</v>
      </c>
      <c r="BV297" s="30" t="str">
        <f>HYPERLINK("https%3A%2F%2Fwww.webofscience.com%2Fwos%2Fwoscc%2Ffull-record%2FWOS:001012034900001","View Full Record in Web of Science")</f>
        <v>View Full Record in Web of Science</v>
      </c>
    </row>
    <row r="298" spans="1:74" x14ac:dyDescent="0.2">
      <c r="A298" s="30" t="s">
        <v>243</v>
      </c>
      <c r="B298" s="30" t="s">
        <v>2557</v>
      </c>
      <c r="C298" s="30" t="s">
        <v>245</v>
      </c>
      <c r="D298" s="30" t="s">
        <v>245</v>
      </c>
      <c r="E298" s="30" t="s">
        <v>245</v>
      </c>
      <c r="F298" s="30" t="s">
        <v>2558</v>
      </c>
      <c r="G298" s="30" t="s">
        <v>245</v>
      </c>
      <c r="H298" s="30" t="s">
        <v>245</v>
      </c>
      <c r="I298" s="30" t="s">
        <v>2838</v>
      </c>
      <c r="K298" s="30" t="s">
        <v>2559</v>
      </c>
      <c r="L298" s="30" t="s">
        <v>413</v>
      </c>
      <c r="M298" s="30" t="s">
        <v>245</v>
      </c>
      <c r="N298" s="30" t="s">
        <v>245</v>
      </c>
      <c r="O298" s="30" t="s">
        <v>245</v>
      </c>
      <c r="P298" s="30" t="s">
        <v>245</v>
      </c>
      <c r="Q298" s="30" t="s">
        <v>245</v>
      </c>
      <c r="R298" s="30" t="s">
        <v>245</v>
      </c>
      <c r="S298" s="30" t="s">
        <v>245</v>
      </c>
      <c r="T298" s="30" t="s">
        <v>245</v>
      </c>
      <c r="U298" s="30" t="s">
        <v>245</v>
      </c>
      <c r="V298" s="30" t="s">
        <v>245</v>
      </c>
      <c r="W298" s="30" t="s">
        <v>245</v>
      </c>
      <c r="X298" s="30" t="s">
        <v>245</v>
      </c>
      <c r="Y298" s="30" t="s">
        <v>245</v>
      </c>
      <c r="Z298" s="30" t="s">
        <v>245</v>
      </c>
      <c r="AA298" s="30" t="s">
        <v>245</v>
      </c>
      <c r="AB298" s="30" t="s">
        <v>245</v>
      </c>
      <c r="AC298" s="30" t="s">
        <v>2560</v>
      </c>
      <c r="AD298" s="30" t="s">
        <v>2561</v>
      </c>
      <c r="AE298" s="30" t="s">
        <v>245</v>
      </c>
      <c r="AF298" s="30" t="s">
        <v>245</v>
      </c>
      <c r="AG298" s="30" t="s">
        <v>245</v>
      </c>
      <c r="AH298" s="30" t="s">
        <v>245</v>
      </c>
      <c r="AI298" s="30" t="s">
        <v>245</v>
      </c>
      <c r="AJ298" s="30" t="s">
        <v>245</v>
      </c>
      <c r="AK298" s="30" t="s">
        <v>245</v>
      </c>
      <c r="AL298" s="30" t="s">
        <v>245</v>
      </c>
      <c r="AM298" s="30" t="s">
        <v>245</v>
      </c>
      <c r="AN298" s="30" t="s">
        <v>245</v>
      </c>
      <c r="AO298" s="30" t="s">
        <v>245</v>
      </c>
      <c r="AP298" s="30" t="s">
        <v>245</v>
      </c>
      <c r="AQ298" s="30" t="s">
        <v>416</v>
      </c>
      <c r="AR298" s="30" t="s">
        <v>417</v>
      </c>
      <c r="AS298" s="30" t="s">
        <v>245</v>
      </c>
      <c r="AT298" s="30" t="s">
        <v>245</v>
      </c>
      <c r="AU298" s="30" t="s">
        <v>245</v>
      </c>
      <c r="AV298" s="30" t="s">
        <v>487</v>
      </c>
      <c r="AW298" s="30">
        <v>2018</v>
      </c>
      <c r="AX298" s="30">
        <v>616</v>
      </c>
      <c r="AY298" s="30" t="s">
        <v>245</v>
      </c>
      <c r="AZ298" s="30" t="s">
        <v>245</v>
      </c>
      <c r="BA298" s="30" t="s">
        <v>245</v>
      </c>
      <c r="BB298" s="30" t="s">
        <v>245</v>
      </c>
      <c r="BC298" s="30" t="s">
        <v>245</v>
      </c>
      <c r="BD298" s="30">
        <v>1457</v>
      </c>
      <c r="BE298" s="30">
        <v>1468</v>
      </c>
      <c r="BF298" s="30" t="s">
        <v>245</v>
      </c>
      <c r="BG298" s="30" t="s">
        <v>2562</v>
      </c>
      <c r="BH298" s="30" t="str">
        <f>HYPERLINK("http://dx.doi.org/10.1016/j.scitotenv.2017.10.168","http://dx.doi.org/10.1016/j.scitotenv.2017.10.168")</f>
        <v>http://dx.doi.org/10.1016/j.scitotenv.2017.10.168</v>
      </c>
      <c r="BI298" s="30" t="s">
        <v>245</v>
      </c>
      <c r="BJ298" s="30" t="s">
        <v>245</v>
      </c>
      <c r="BK298" s="30" t="s">
        <v>245</v>
      </c>
      <c r="BL298" s="30" t="s">
        <v>245</v>
      </c>
      <c r="BM298" s="30" t="s">
        <v>245</v>
      </c>
      <c r="BN298" s="30" t="s">
        <v>245</v>
      </c>
      <c r="BO298" s="30" t="s">
        <v>245</v>
      </c>
      <c r="BP298" s="30">
        <v>29074245</v>
      </c>
      <c r="BQ298" s="30" t="s">
        <v>245</v>
      </c>
      <c r="BR298" s="30" t="s">
        <v>245</v>
      </c>
      <c r="BS298" s="30" t="s">
        <v>245</v>
      </c>
      <c r="BT298" s="30" t="s">
        <v>245</v>
      </c>
      <c r="BU298" s="30" t="s">
        <v>2563</v>
      </c>
      <c r="BV298" s="30" t="str">
        <f>HYPERLINK("https%3A%2F%2Fwww.webofscience.com%2Fwos%2Fwoscc%2Ffull-record%2FWOS:000424121800146","View Full Record in Web of Science")</f>
        <v>View Full Record in Web of Science</v>
      </c>
    </row>
    <row r="299" spans="1:74" x14ac:dyDescent="0.2">
      <c r="A299" s="30" t="s">
        <v>243</v>
      </c>
      <c r="B299" s="30" t="s">
        <v>2564</v>
      </c>
      <c r="C299" s="30" t="s">
        <v>245</v>
      </c>
      <c r="D299" s="30" t="s">
        <v>245</v>
      </c>
      <c r="E299" s="30" t="s">
        <v>245</v>
      </c>
      <c r="F299" s="30" t="s">
        <v>2565</v>
      </c>
      <c r="G299" s="30" t="s">
        <v>245</v>
      </c>
      <c r="H299" s="30" t="s">
        <v>245</v>
      </c>
      <c r="I299" s="30" t="s">
        <v>2839</v>
      </c>
      <c r="K299" s="30" t="s">
        <v>2566</v>
      </c>
      <c r="L299" s="30" t="s">
        <v>363</v>
      </c>
      <c r="M299" s="30" t="s">
        <v>245</v>
      </c>
      <c r="N299" s="30" t="s">
        <v>245</v>
      </c>
      <c r="O299" s="30" t="s">
        <v>245</v>
      </c>
      <c r="P299" s="30" t="s">
        <v>245</v>
      </c>
      <c r="Q299" s="30" t="s">
        <v>245</v>
      </c>
      <c r="R299" s="30" t="s">
        <v>245</v>
      </c>
      <c r="S299" s="30" t="s">
        <v>245</v>
      </c>
      <c r="T299" s="30" t="s">
        <v>245</v>
      </c>
      <c r="U299" s="30" t="s">
        <v>245</v>
      </c>
      <c r="V299" s="30" t="s">
        <v>245</v>
      </c>
      <c r="W299" s="30" t="s">
        <v>245</v>
      </c>
      <c r="X299" s="30" t="s">
        <v>245</v>
      </c>
      <c r="Y299" s="30" t="s">
        <v>245</v>
      </c>
      <c r="Z299" s="30" t="s">
        <v>245</v>
      </c>
      <c r="AA299" s="30" t="s">
        <v>245</v>
      </c>
      <c r="AB299" s="30" t="s">
        <v>245</v>
      </c>
      <c r="AC299" s="30" t="s">
        <v>245</v>
      </c>
      <c r="AD299" s="30" t="s">
        <v>245</v>
      </c>
      <c r="AE299" s="30" t="s">
        <v>245</v>
      </c>
      <c r="AF299" s="30" t="s">
        <v>245</v>
      </c>
      <c r="AG299" s="30" t="s">
        <v>245</v>
      </c>
      <c r="AH299" s="30" t="s">
        <v>245</v>
      </c>
      <c r="AI299" s="30" t="s">
        <v>245</v>
      </c>
      <c r="AJ299" s="30" t="s">
        <v>245</v>
      </c>
      <c r="AK299" s="30" t="s">
        <v>245</v>
      </c>
      <c r="AL299" s="30" t="s">
        <v>245</v>
      </c>
      <c r="AM299" s="30" t="s">
        <v>245</v>
      </c>
      <c r="AN299" s="30" t="s">
        <v>245</v>
      </c>
      <c r="AO299" s="30" t="s">
        <v>245</v>
      </c>
      <c r="AP299" s="30" t="s">
        <v>245</v>
      </c>
      <c r="AQ299" s="30" t="s">
        <v>364</v>
      </c>
      <c r="AR299" s="30" t="s">
        <v>2567</v>
      </c>
      <c r="AS299" s="30" t="s">
        <v>245</v>
      </c>
      <c r="AT299" s="30" t="s">
        <v>245</v>
      </c>
      <c r="AU299" s="30" t="s">
        <v>245</v>
      </c>
      <c r="AV299" s="30" t="s">
        <v>365</v>
      </c>
      <c r="AW299" s="30">
        <v>2012</v>
      </c>
      <c r="AX299" s="30">
        <v>58</v>
      </c>
      <c r="AY299" s="30">
        <v>2</v>
      </c>
      <c r="AZ299" s="30" t="s">
        <v>245</v>
      </c>
      <c r="BA299" s="30" t="s">
        <v>245</v>
      </c>
      <c r="BB299" s="30" t="s">
        <v>245</v>
      </c>
      <c r="BC299" s="30" t="s">
        <v>245</v>
      </c>
      <c r="BD299" s="30">
        <v>124</v>
      </c>
      <c r="BE299" s="30">
        <v>131</v>
      </c>
      <c r="BF299" s="30" t="s">
        <v>245</v>
      </c>
      <c r="BG299" s="30" t="s">
        <v>2568</v>
      </c>
      <c r="BH299" s="30" t="str">
        <f>HYPERLINK("http://dx.doi.org/10.1139/W11-116","http://dx.doi.org/10.1139/W11-116")</f>
        <v>http://dx.doi.org/10.1139/W11-116</v>
      </c>
      <c r="BI299" s="30" t="s">
        <v>245</v>
      </c>
      <c r="BJ299" s="30" t="s">
        <v>245</v>
      </c>
      <c r="BK299" s="30" t="s">
        <v>245</v>
      </c>
      <c r="BL299" s="30" t="s">
        <v>245</v>
      </c>
      <c r="BM299" s="30" t="s">
        <v>245</v>
      </c>
      <c r="BN299" s="30" t="s">
        <v>245</v>
      </c>
      <c r="BO299" s="30" t="s">
        <v>245</v>
      </c>
      <c r="BP299" s="30">
        <v>22260206</v>
      </c>
      <c r="BQ299" s="30" t="s">
        <v>245</v>
      </c>
      <c r="BR299" s="30" t="s">
        <v>245</v>
      </c>
      <c r="BS299" s="30" t="s">
        <v>245</v>
      </c>
      <c r="BT299" s="30" t="s">
        <v>245</v>
      </c>
      <c r="BU299" s="30" t="s">
        <v>2569</v>
      </c>
      <c r="BV299" s="30" t="str">
        <f>HYPERLINK("https%3A%2F%2Fwww.webofscience.com%2Fwos%2Fwoscc%2Ffull-record%2FWOS:000299791500002","View Full Record in Web of Science")</f>
        <v>View Full Record in Web of Science</v>
      </c>
    </row>
    <row r="300" spans="1:74" x14ac:dyDescent="0.2">
      <c r="A300" s="30" t="s">
        <v>243</v>
      </c>
      <c r="B300" s="30" t="s">
        <v>2570</v>
      </c>
      <c r="C300" s="30" t="s">
        <v>245</v>
      </c>
      <c r="D300" s="30" t="s">
        <v>245</v>
      </c>
      <c r="E300" s="30" t="s">
        <v>245</v>
      </c>
      <c r="F300" s="30" t="s">
        <v>2571</v>
      </c>
      <c r="G300" s="30" t="s">
        <v>245</v>
      </c>
      <c r="H300" s="30" t="s">
        <v>245</v>
      </c>
      <c r="I300" s="30" t="s">
        <v>2838</v>
      </c>
      <c r="K300" s="30" t="s">
        <v>2572</v>
      </c>
      <c r="L300" s="30" t="s">
        <v>1015</v>
      </c>
      <c r="M300" s="30" t="s">
        <v>245</v>
      </c>
      <c r="N300" s="30" t="s">
        <v>245</v>
      </c>
      <c r="O300" s="30" t="s">
        <v>245</v>
      </c>
      <c r="P300" s="30" t="s">
        <v>245</v>
      </c>
      <c r="Q300" s="30" t="s">
        <v>245</v>
      </c>
      <c r="R300" s="30" t="s">
        <v>245</v>
      </c>
      <c r="S300" s="30" t="s">
        <v>245</v>
      </c>
      <c r="T300" s="30" t="s">
        <v>245</v>
      </c>
      <c r="U300" s="30" t="s">
        <v>245</v>
      </c>
      <c r="V300" s="30" t="s">
        <v>245</v>
      </c>
      <c r="W300" s="30" t="s">
        <v>245</v>
      </c>
      <c r="X300" s="30" t="s">
        <v>245</v>
      </c>
      <c r="Y300" s="30" t="s">
        <v>245</v>
      </c>
      <c r="Z300" s="30" t="s">
        <v>245</v>
      </c>
      <c r="AA300" s="30" t="s">
        <v>245</v>
      </c>
      <c r="AB300" s="30" t="s">
        <v>245</v>
      </c>
      <c r="AC300" s="30" t="s">
        <v>2573</v>
      </c>
      <c r="AD300" s="30" t="s">
        <v>2574</v>
      </c>
      <c r="AE300" s="30" t="s">
        <v>245</v>
      </c>
      <c r="AF300" s="30" t="s">
        <v>245</v>
      </c>
      <c r="AG300" s="30" t="s">
        <v>245</v>
      </c>
      <c r="AH300" s="30" t="s">
        <v>245</v>
      </c>
      <c r="AI300" s="30" t="s">
        <v>245</v>
      </c>
      <c r="AJ300" s="30" t="s">
        <v>245</v>
      </c>
      <c r="AK300" s="30" t="s">
        <v>245</v>
      </c>
      <c r="AL300" s="30" t="s">
        <v>245</v>
      </c>
      <c r="AM300" s="30" t="s">
        <v>245</v>
      </c>
      <c r="AN300" s="30" t="s">
        <v>245</v>
      </c>
      <c r="AO300" s="30" t="s">
        <v>245</v>
      </c>
      <c r="AP300" s="30" t="s">
        <v>245</v>
      </c>
      <c r="AQ300" s="30" t="s">
        <v>1018</v>
      </c>
      <c r="AR300" s="30" t="s">
        <v>1019</v>
      </c>
      <c r="AS300" s="30" t="s">
        <v>245</v>
      </c>
      <c r="AT300" s="30" t="s">
        <v>245</v>
      </c>
      <c r="AU300" s="30" t="s">
        <v>245</v>
      </c>
      <c r="AV300" s="30" t="s">
        <v>535</v>
      </c>
      <c r="AW300" s="30">
        <v>2014</v>
      </c>
      <c r="AX300" s="30">
        <v>120</v>
      </c>
      <c r="AY300" s="30" t="s">
        <v>345</v>
      </c>
      <c r="AZ300" s="30" t="s">
        <v>245</v>
      </c>
      <c r="BA300" s="30" t="s">
        <v>245</v>
      </c>
      <c r="BB300" s="30" t="s">
        <v>245</v>
      </c>
      <c r="BC300" s="30" t="s">
        <v>245</v>
      </c>
      <c r="BD300" s="30">
        <v>163</v>
      </c>
      <c r="BE300" s="30">
        <v>189</v>
      </c>
      <c r="BF300" s="30" t="s">
        <v>245</v>
      </c>
      <c r="BG300" s="30" t="s">
        <v>2575</v>
      </c>
      <c r="BH300" s="30" t="str">
        <f>HYPERLINK("http://dx.doi.org/10.1007/s10533-014-9989-7","http://dx.doi.org/10.1007/s10533-014-9989-7")</f>
        <v>http://dx.doi.org/10.1007/s10533-014-9989-7</v>
      </c>
      <c r="BI300" s="30" t="s">
        <v>245</v>
      </c>
      <c r="BJ300" s="30" t="s">
        <v>245</v>
      </c>
      <c r="BK300" s="30" t="s">
        <v>245</v>
      </c>
      <c r="BL300" s="30" t="s">
        <v>245</v>
      </c>
      <c r="BM300" s="30" t="s">
        <v>245</v>
      </c>
      <c r="BN300" s="30" t="s">
        <v>245</v>
      </c>
      <c r="BO300" s="30" t="s">
        <v>245</v>
      </c>
      <c r="BP300" s="30" t="s">
        <v>245</v>
      </c>
      <c r="BQ300" s="30" t="s">
        <v>245</v>
      </c>
      <c r="BR300" s="30" t="s">
        <v>245</v>
      </c>
      <c r="BS300" s="30" t="s">
        <v>245</v>
      </c>
      <c r="BT300" s="30" t="s">
        <v>245</v>
      </c>
      <c r="BU300" s="30" t="s">
        <v>2576</v>
      </c>
      <c r="BV300" s="30" t="str">
        <f>HYPERLINK("https%3A%2F%2Fwww.webofscience.com%2Fwos%2Fwoscc%2Ffull-record%2FWOS:000339871700011","View Full Record in Web of Science")</f>
        <v>View Full Record in Web of Science</v>
      </c>
    </row>
    <row r="301" spans="1:74" x14ac:dyDescent="0.2">
      <c r="A301" s="30" t="s">
        <v>243</v>
      </c>
      <c r="B301" s="30" t="s">
        <v>2577</v>
      </c>
      <c r="C301" s="30" t="s">
        <v>245</v>
      </c>
      <c r="D301" s="30" t="s">
        <v>245</v>
      </c>
      <c r="E301" s="30" t="s">
        <v>245</v>
      </c>
      <c r="F301" s="30" t="s">
        <v>2577</v>
      </c>
      <c r="G301" s="30" t="s">
        <v>245</v>
      </c>
      <c r="H301" s="30" t="s">
        <v>245</v>
      </c>
      <c r="I301" s="30" t="s">
        <v>2823</v>
      </c>
      <c r="K301" s="30" t="s">
        <v>2578</v>
      </c>
      <c r="L301" s="30" t="s">
        <v>933</v>
      </c>
      <c r="M301" s="30" t="s">
        <v>245</v>
      </c>
      <c r="N301" s="30" t="s">
        <v>245</v>
      </c>
      <c r="O301" s="30" t="s">
        <v>245</v>
      </c>
      <c r="P301" s="30" t="s">
        <v>245</v>
      </c>
      <c r="Q301" s="30" t="s">
        <v>245</v>
      </c>
      <c r="R301" s="30" t="s">
        <v>245</v>
      </c>
      <c r="S301" s="30" t="s">
        <v>245</v>
      </c>
      <c r="T301" s="30" t="s">
        <v>245</v>
      </c>
      <c r="U301" s="30" t="s">
        <v>245</v>
      </c>
      <c r="V301" s="30" t="s">
        <v>245</v>
      </c>
      <c r="W301" s="30" t="s">
        <v>245</v>
      </c>
      <c r="X301" s="30" t="s">
        <v>245</v>
      </c>
      <c r="Y301" s="30" t="s">
        <v>245</v>
      </c>
      <c r="Z301" s="30" t="s">
        <v>245</v>
      </c>
      <c r="AA301" s="30" t="s">
        <v>245</v>
      </c>
      <c r="AB301" s="30" t="s">
        <v>245</v>
      </c>
      <c r="AC301" s="30" t="s">
        <v>245</v>
      </c>
      <c r="AD301" s="30" t="s">
        <v>245</v>
      </c>
      <c r="AE301" s="30" t="s">
        <v>245</v>
      </c>
      <c r="AF301" s="30" t="s">
        <v>245</v>
      </c>
      <c r="AG301" s="30" t="s">
        <v>245</v>
      </c>
      <c r="AH301" s="30" t="s">
        <v>245</v>
      </c>
      <c r="AI301" s="30" t="s">
        <v>245</v>
      </c>
      <c r="AJ301" s="30" t="s">
        <v>245</v>
      </c>
      <c r="AK301" s="30" t="s">
        <v>245</v>
      </c>
      <c r="AL301" s="30" t="s">
        <v>245</v>
      </c>
      <c r="AM301" s="30" t="s">
        <v>245</v>
      </c>
      <c r="AN301" s="30" t="s">
        <v>245</v>
      </c>
      <c r="AO301" s="30" t="s">
        <v>245</v>
      </c>
      <c r="AP301" s="30" t="s">
        <v>245</v>
      </c>
      <c r="AQ301" s="30" t="s">
        <v>936</v>
      </c>
      <c r="AR301" s="30" t="s">
        <v>937</v>
      </c>
      <c r="AS301" s="30" t="s">
        <v>245</v>
      </c>
      <c r="AT301" s="30" t="s">
        <v>245</v>
      </c>
      <c r="AU301" s="30" t="s">
        <v>245</v>
      </c>
      <c r="AV301" s="30" t="s">
        <v>265</v>
      </c>
      <c r="AW301" s="30">
        <v>2005</v>
      </c>
      <c r="AX301" s="30">
        <v>63</v>
      </c>
      <c r="AY301" s="30">
        <v>4</v>
      </c>
      <c r="AZ301" s="30" t="s">
        <v>245</v>
      </c>
      <c r="BA301" s="30" t="s">
        <v>245</v>
      </c>
      <c r="BB301" s="30" t="s">
        <v>245</v>
      </c>
      <c r="BC301" s="30" t="s">
        <v>245</v>
      </c>
      <c r="BD301" s="30">
        <v>605</v>
      </c>
      <c r="BE301" s="30">
        <v>618</v>
      </c>
      <c r="BF301" s="30" t="s">
        <v>245</v>
      </c>
      <c r="BG301" s="30" t="s">
        <v>2579</v>
      </c>
      <c r="BH301" s="30" t="str">
        <f>HYPERLINK("http://dx.doi.org/10.1016/j.ecss.2005.01.004","http://dx.doi.org/10.1016/j.ecss.2005.01.004")</f>
        <v>http://dx.doi.org/10.1016/j.ecss.2005.01.004</v>
      </c>
      <c r="BI301" s="30" t="s">
        <v>245</v>
      </c>
      <c r="BJ301" s="30" t="s">
        <v>245</v>
      </c>
      <c r="BK301" s="30" t="s">
        <v>245</v>
      </c>
      <c r="BL301" s="30" t="s">
        <v>245</v>
      </c>
      <c r="BM301" s="30" t="s">
        <v>245</v>
      </c>
      <c r="BN301" s="30" t="s">
        <v>245</v>
      </c>
      <c r="BO301" s="30" t="s">
        <v>245</v>
      </c>
      <c r="BP301" s="30" t="s">
        <v>245</v>
      </c>
      <c r="BQ301" s="30" t="s">
        <v>245</v>
      </c>
      <c r="BR301" s="30" t="s">
        <v>245</v>
      </c>
      <c r="BS301" s="30" t="s">
        <v>245</v>
      </c>
      <c r="BT301" s="30" t="s">
        <v>245</v>
      </c>
      <c r="BU301" s="30" t="s">
        <v>2580</v>
      </c>
      <c r="BV301" s="30" t="str">
        <f>HYPERLINK("https%3A%2F%2Fwww.webofscience.com%2Fwos%2Fwoscc%2Ffull-record%2FWOS:000229809900012","View Full Record in Web of Science")</f>
        <v>View Full Record in Web of Science</v>
      </c>
    </row>
    <row r="302" spans="1:74" x14ac:dyDescent="0.2">
      <c r="A302" s="30" t="s">
        <v>243</v>
      </c>
      <c r="B302" s="30" t="s">
        <v>2581</v>
      </c>
      <c r="C302" s="30" t="s">
        <v>245</v>
      </c>
      <c r="D302" s="30" t="s">
        <v>245</v>
      </c>
      <c r="E302" s="30" t="s">
        <v>245</v>
      </c>
      <c r="F302" s="30" t="s">
        <v>2582</v>
      </c>
      <c r="G302" s="30" t="s">
        <v>245</v>
      </c>
      <c r="H302" s="30" t="s">
        <v>245</v>
      </c>
      <c r="I302" s="30" t="s">
        <v>2823</v>
      </c>
      <c r="K302" s="30" t="s">
        <v>2583</v>
      </c>
      <c r="L302" s="30" t="s">
        <v>450</v>
      </c>
      <c r="M302" s="30" t="s">
        <v>245</v>
      </c>
      <c r="N302" s="30" t="s">
        <v>245</v>
      </c>
      <c r="O302" s="30" t="s">
        <v>245</v>
      </c>
      <c r="P302" s="30" t="s">
        <v>245</v>
      </c>
      <c r="Q302" s="30" t="s">
        <v>245</v>
      </c>
      <c r="R302" s="30" t="s">
        <v>245</v>
      </c>
      <c r="S302" s="30" t="s">
        <v>245</v>
      </c>
      <c r="T302" s="30" t="s">
        <v>245</v>
      </c>
      <c r="U302" s="30" t="s">
        <v>245</v>
      </c>
      <c r="V302" s="30" t="s">
        <v>245</v>
      </c>
      <c r="W302" s="30" t="s">
        <v>245</v>
      </c>
      <c r="X302" s="30" t="s">
        <v>245</v>
      </c>
      <c r="Y302" s="30" t="s">
        <v>245</v>
      </c>
      <c r="Z302" s="30" t="s">
        <v>245</v>
      </c>
      <c r="AA302" s="30" t="s">
        <v>245</v>
      </c>
      <c r="AB302" s="30" t="s">
        <v>245</v>
      </c>
      <c r="AC302" s="30" t="s">
        <v>2584</v>
      </c>
      <c r="AD302" s="30" t="s">
        <v>2585</v>
      </c>
      <c r="AE302" s="30" t="s">
        <v>245</v>
      </c>
      <c r="AF302" s="30" t="s">
        <v>245</v>
      </c>
      <c r="AG302" s="30" t="s">
        <v>245</v>
      </c>
      <c r="AH302" s="30" t="s">
        <v>245</v>
      </c>
      <c r="AI302" s="30" t="s">
        <v>245</v>
      </c>
      <c r="AJ302" s="30" t="s">
        <v>245</v>
      </c>
      <c r="AK302" s="30" t="s">
        <v>245</v>
      </c>
      <c r="AL302" s="30" t="s">
        <v>245</v>
      </c>
      <c r="AM302" s="30" t="s">
        <v>245</v>
      </c>
      <c r="AN302" s="30" t="s">
        <v>245</v>
      </c>
      <c r="AO302" s="30" t="s">
        <v>245</v>
      </c>
      <c r="AP302" s="30" t="s">
        <v>245</v>
      </c>
      <c r="AQ302" s="30" t="s">
        <v>452</v>
      </c>
      <c r="AR302" s="30" t="s">
        <v>453</v>
      </c>
      <c r="AS302" s="30" t="s">
        <v>245</v>
      </c>
      <c r="AT302" s="30" t="s">
        <v>245</v>
      </c>
      <c r="AU302" s="30" t="s">
        <v>245</v>
      </c>
      <c r="AV302" s="30" t="s">
        <v>297</v>
      </c>
      <c r="AW302" s="30">
        <v>2016</v>
      </c>
      <c r="AX302" s="30">
        <v>95</v>
      </c>
      <c r="AY302" s="30" t="s">
        <v>245</v>
      </c>
      <c r="AZ302" s="30" t="s">
        <v>245</v>
      </c>
      <c r="BA302" s="30" t="s">
        <v>245</v>
      </c>
      <c r="BB302" s="30" t="s">
        <v>245</v>
      </c>
      <c r="BC302" s="30" t="s">
        <v>245</v>
      </c>
      <c r="BD302" s="30">
        <v>770</v>
      </c>
      <c r="BE302" s="30">
        <v>778</v>
      </c>
      <c r="BF302" s="30" t="s">
        <v>245</v>
      </c>
      <c r="BG302" s="30" t="s">
        <v>2586</v>
      </c>
      <c r="BH302" s="30" t="str">
        <f>HYPERLINK("http://dx.doi.org/10.1016/j.ecoleng.2016.07.014","http://dx.doi.org/10.1016/j.ecoleng.2016.07.014")</f>
        <v>http://dx.doi.org/10.1016/j.ecoleng.2016.07.014</v>
      </c>
      <c r="BI302" s="30" t="s">
        <v>245</v>
      </c>
      <c r="BJ302" s="30" t="s">
        <v>245</v>
      </c>
      <c r="BK302" s="30" t="s">
        <v>245</v>
      </c>
      <c r="BL302" s="30" t="s">
        <v>245</v>
      </c>
      <c r="BM302" s="30" t="s">
        <v>245</v>
      </c>
      <c r="BN302" s="30" t="s">
        <v>245</v>
      </c>
      <c r="BO302" s="30" t="s">
        <v>245</v>
      </c>
      <c r="BP302" s="30" t="s">
        <v>245</v>
      </c>
      <c r="BQ302" s="30" t="s">
        <v>245</v>
      </c>
      <c r="BR302" s="30" t="s">
        <v>245</v>
      </c>
      <c r="BS302" s="30" t="s">
        <v>245</v>
      </c>
      <c r="BT302" s="30" t="s">
        <v>245</v>
      </c>
      <c r="BU302" s="30" t="s">
        <v>2587</v>
      </c>
      <c r="BV302" s="30" t="str">
        <f>HYPERLINK("https%3A%2F%2Fwww.webofscience.com%2Fwos%2Fwoscc%2Ffull-record%2FWOS:000385371400089","View Full Record in Web of Science")</f>
        <v>View Full Record in Web of Science</v>
      </c>
    </row>
    <row r="303" spans="1:74" x14ac:dyDescent="0.2">
      <c r="A303" s="30" t="s">
        <v>243</v>
      </c>
      <c r="B303" s="30" t="s">
        <v>2588</v>
      </c>
      <c r="C303" s="30" t="s">
        <v>245</v>
      </c>
      <c r="D303" s="30" t="s">
        <v>245</v>
      </c>
      <c r="E303" s="30" t="s">
        <v>245</v>
      </c>
      <c r="F303" s="30" t="s">
        <v>2589</v>
      </c>
      <c r="G303" s="30" t="s">
        <v>245</v>
      </c>
      <c r="H303" s="30" t="s">
        <v>245</v>
      </c>
      <c r="I303" s="30" t="s">
        <v>2823</v>
      </c>
      <c r="K303" s="30" t="s">
        <v>2590</v>
      </c>
      <c r="L303" s="30" t="s">
        <v>2591</v>
      </c>
      <c r="M303" s="30" t="s">
        <v>245</v>
      </c>
      <c r="N303" s="30" t="s">
        <v>245</v>
      </c>
      <c r="O303" s="30" t="s">
        <v>245</v>
      </c>
      <c r="P303" s="30" t="s">
        <v>245</v>
      </c>
      <c r="Q303" s="30" t="s">
        <v>245</v>
      </c>
      <c r="R303" s="30" t="s">
        <v>245</v>
      </c>
      <c r="S303" s="30" t="s">
        <v>245</v>
      </c>
      <c r="T303" s="30" t="s">
        <v>245</v>
      </c>
      <c r="U303" s="30" t="s">
        <v>245</v>
      </c>
      <c r="V303" s="30" t="s">
        <v>245</v>
      </c>
      <c r="W303" s="30" t="s">
        <v>245</v>
      </c>
      <c r="X303" s="30" t="s">
        <v>245</v>
      </c>
      <c r="Y303" s="30" t="s">
        <v>245</v>
      </c>
      <c r="Z303" s="30" t="s">
        <v>245</v>
      </c>
      <c r="AA303" s="30" t="s">
        <v>245</v>
      </c>
      <c r="AB303" s="30" t="s">
        <v>245</v>
      </c>
      <c r="AC303" s="30" t="s">
        <v>2592</v>
      </c>
      <c r="AD303" s="30" t="s">
        <v>245</v>
      </c>
      <c r="AE303" s="30" t="s">
        <v>245</v>
      </c>
      <c r="AF303" s="30" t="s">
        <v>245</v>
      </c>
      <c r="AG303" s="30" t="s">
        <v>245</v>
      </c>
      <c r="AH303" s="30" t="s">
        <v>245</v>
      </c>
      <c r="AI303" s="30" t="s">
        <v>245</v>
      </c>
      <c r="AJ303" s="30" t="s">
        <v>245</v>
      </c>
      <c r="AK303" s="30" t="s">
        <v>245</v>
      </c>
      <c r="AL303" s="30" t="s">
        <v>245</v>
      </c>
      <c r="AM303" s="30" t="s">
        <v>245</v>
      </c>
      <c r="AN303" s="30" t="s">
        <v>245</v>
      </c>
      <c r="AO303" s="30" t="s">
        <v>245</v>
      </c>
      <c r="AP303" s="30" t="s">
        <v>245</v>
      </c>
      <c r="AQ303" s="30" t="s">
        <v>2593</v>
      </c>
      <c r="AR303" s="30" t="s">
        <v>2594</v>
      </c>
      <c r="AS303" s="30" t="s">
        <v>245</v>
      </c>
      <c r="AT303" s="30" t="s">
        <v>245</v>
      </c>
      <c r="AU303" s="30" t="s">
        <v>245</v>
      </c>
      <c r="AV303" s="30" t="s">
        <v>535</v>
      </c>
      <c r="AW303" s="30">
        <v>2012</v>
      </c>
      <c r="AX303" s="30">
        <v>72</v>
      </c>
      <c r="AY303" s="30">
        <v>3</v>
      </c>
      <c r="AZ303" s="30" t="s">
        <v>245</v>
      </c>
      <c r="BA303" s="30" t="s">
        <v>245</v>
      </c>
      <c r="BB303" s="30" t="s">
        <v>245</v>
      </c>
      <c r="BC303" s="30" t="s">
        <v>245</v>
      </c>
      <c r="BD303" s="30">
        <v>429</v>
      </c>
      <c r="BE303" s="30">
        <v>436</v>
      </c>
      <c r="BF303" s="30" t="s">
        <v>245</v>
      </c>
      <c r="BG303" s="30" t="s">
        <v>2595</v>
      </c>
      <c r="BH303" s="30" t="str">
        <f>HYPERLINK("http://dx.doi.org/10.1590/S1519-69842012000300003","http://dx.doi.org/10.1590/S1519-69842012000300003")</f>
        <v>http://dx.doi.org/10.1590/S1519-69842012000300003</v>
      </c>
      <c r="BI303" s="30" t="s">
        <v>245</v>
      </c>
      <c r="BJ303" s="30" t="s">
        <v>245</v>
      </c>
      <c r="BK303" s="30" t="s">
        <v>245</v>
      </c>
      <c r="BL303" s="30" t="s">
        <v>245</v>
      </c>
      <c r="BM303" s="30" t="s">
        <v>245</v>
      </c>
      <c r="BN303" s="30" t="s">
        <v>245</v>
      </c>
      <c r="BO303" s="30" t="s">
        <v>245</v>
      </c>
      <c r="BP303" s="30">
        <v>22990811</v>
      </c>
      <c r="BQ303" s="30" t="s">
        <v>245</v>
      </c>
      <c r="BR303" s="30" t="s">
        <v>245</v>
      </c>
      <c r="BS303" s="30" t="s">
        <v>245</v>
      </c>
      <c r="BT303" s="30" t="s">
        <v>245</v>
      </c>
      <c r="BU303" s="30" t="s">
        <v>2596</v>
      </c>
      <c r="BV303" s="30" t="str">
        <f>HYPERLINK("https%3A%2F%2Fwww.webofscience.com%2Fwos%2Fwoscc%2Ffull-record%2FWOS:000308954700003","View Full Record in Web of Science")</f>
        <v>View Full Record in Web of Science</v>
      </c>
    </row>
    <row r="304" spans="1:74" x14ac:dyDescent="0.2">
      <c r="A304" s="30" t="s">
        <v>243</v>
      </c>
      <c r="B304" s="30" t="s">
        <v>2597</v>
      </c>
      <c r="C304" s="30" t="s">
        <v>245</v>
      </c>
      <c r="D304" s="30" t="s">
        <v>245</v>
      </c>
      <c r="E304" s="30" t="s">
        <v>245</v>
      </c>
      <c r="F304" s="30" t="s">
        <v>2598</v>
      </c>
      <c r="G304" s="30" t="s">
        <v>245</v>
      </c>
      <c r="H304" s="30" t="s">
        <v>245</v>
      </c>
      <c r="I304" s="30" t="s">
        <v>2823</v>
      </c>
      <c r="K304" s="30" t="s">
        <v>2599</v>
      </c>
      <c r="L304" s="30" t="s">
        <v>282</v>
      </c>
      <c r="M304" s="30" t="s">
        <v>245</v>
      </c>
      <c r="N304" s="30" t="s">
        <v>245</v>
      </c>
      <c r="O304" s="30" t="s">
        <v>245</v>
      </c>
      <c r="P304" s="30" t="s">
        <v>245</v>
      </c>
      <c r="Q304" s="30" t="s">
        <v>245</v>
      </c>
      <c r="R304" s="30" t="s">
        <v>245</v>
      </c>
      <c r="S304" s="30" t="s">
        <v>245</v>
      </c>
      <c r="T304" s="30" t="s">
        <v>245</v>
      </c>
      <c r="U304" s="30" t="s">
        <v>245</v>
      </c>
      <c r="V304" s="30" t="s">
        <v>245</v>
      </c>
      <c r="W304" s="30" t="s">
        <v>245</v>
      </c>
      <c r="X304" s="30" t="s">
        <v>245</v>
      </c>
      <c r="Y304" s="30" t="s">
        <v>245</v>
      </c>
      <c r="Z304" s="30" t="s">
        <v>245</v>
      </c>
      <c r="AA304" s="30" t="s">
        <v>245</v>
      </c>
      <c r="AB304" s="30" t="s">
        <v>245</v>
      </c>
      <c r="AC304" s="30" t="s">
        <v>2600</v>
      </c>
      <c r="AD304" s="30" t="s">
        <v>245</v>
      </c>
      <c r="AE304" s="30" t="s">
        <v>245</v>
      </c>
      <c r="AF304" s="30" t="s">
        <v>245</v>
      </c>
      <c r="AG304" s="30" t="s">
        <v>245</v>
      </c>
      <c r="AH304" s="30" t="s">
        <v>245</v>
      </c>
      <c r="AI304" s="30" t="s">
        <v>245</v>
      </c>
      <c r="AJ304" s="30" t="s">
        <v>245</v>
      </c>
      <c r="AK304" s="30" t="s">
        <v>245</v>
      </c>
      <c r="AL304" s="30" t="s">
        <v>245</v>
      </c>
      <c r="AM304" s="30" t="s">
        <v>245</v>
      </c>
      <c r="AN304" s="30" t="s">
        <v>245</v>
      </c>
      <c r="AO304" s="30" t="s">
        <v>245</v>
      </c>
      <c r="AP304" s="30" t="s">
        <v>245</v>
      </c>
      <c r="AQ304" s="30" t="s">
        <v>285</v>
      </c>
      <c r="AR304" s="30" t="s">
        <v>245</v>
      </c>
      <c r="AS304" s="30" t="s">
        <v>245</v>
      </c>
      <c r="AT304" s="30" t="s">
        <v>245</v>
      </c>
      <c r="AU304" s="30" t="s">
        <v>245</v>
      </c>
      <c r="AV304" s="30" t="s">
        <v>354</v>
      </c>
      <c r="AW304" s="30">
        <v>2009</v>
      </c>
      <c r="AX304" s="30">
        <v>41</v>
      </c>
      <c r="AY304" s="30">
        <v>4</v>
      </c>
      <c r="AZ304" s="30" t="s">
        <v>245</v>
      </c>
      <c r="BA304" s="30" t="s">
        <v>245</v>
      </c>
      <c r="BB304" s="30" t="s">
        <v>245</v>
      </c>
      <c r="BC304" s="30" t="s">
        <v>245</v>
      </c>
      <c r="BD304" s="30">
        <v>735</v>
      </c>
      <c r="BE304" s="30">
        <v>741</v>
      </c>
      <c r="BF304" s="30" t="s">
        <v>245</v>
      </c>
      <c r="BG304" s="30" t="s">
        <v>2601</v>
      </c>
      <c r="BH304" s="30" t="str">
        <f>HYPERLINK("http://dx.doi.org/10.1016/j.soilbio.2009.01.015","http://dx.doi.org/10.1016/j.soilbio.2009.01.015")</f>
        <v>http://dx.doi.org/10.1016/j.soilbio.2009.01.015</v>
      </c>
      <c r="BI304" s="30" t="s">
        <v>245</v>
      </c>
      <c r="BJ304" s="30" t="s">
        <v>245</v>
      </c>
      <c r="BK304" s="30" t="s">
        <v>245</v>
      </c>
      <c r="BL304" s="30" t="s">
        <v>245</v>
      </c>
      <c r="BM304" s="30" t="s">
        <v>245</v>
      </c>
      <c r="BN304" s="30" t="s">
        <v>245</v>
      </c>
      <c r="BO304" s="30" t="s">
        <v>245</v>
      </c>
      <c r="BP304" s="30" t="s">
        <v>245</v>
      </c>
      <c r="BQ304" s="30" t="s">
        <v>245</v>
      </c>
      <c r="BR304" s="30" t="s">
        <v>245</v>
      </c>
      <c r="BS304" s="30" t="s">
        <v>245</v>
      </c>
      <c r="BT304" s="30" t="s">
        <v>245</v>
      </c>
      <c r="BU304" s="30" t="s">
        <v>2602</v>
      </c>
      <c r="BV304" s="30" t="str">
        <f>HYPERLINK("https%3A%2F%2Fwww.webofscience.com%2Fwos%2Fwoscc%2Ffull-record%2FWOS:000265325300010","View Full Record in Web of Science")</f>
        <v>View Full Record in Web of Science</v>
      </c>
    </row>
    <row r="305" spans="1:74" x14ac:dyDescent="0.2">
      <c r="A305" s="30" t="s">
        <v>243</v>
      </c>
      <c r="B305" s="30" t="s">
        <v>2603</v>
      </c>
      <c r="C305" s="30" t="s">
        <v>245</v>
      </c>
      <c r="D305" s="30" t="s">
        <v>245</v>
      </c>
      <c r="E305" s="30" t="s">
        <v>245</v>
      </c>
      <c r="F305" s="30" t="s">
        <v>2604</v>
      </c>
      <c r="G305" s="30" t="s">
        <v>245</v>
      </c>
      <c r="H305" s="30" t="s">
        <v>245</v>
      </c>
      <c r="I305" s="30" t="s">
        <v>2823</v>
      </c>
      <c r="K305" s="30" t="s">
        <v>2605</v>
      </c>
      <c r="L305" s="30" t="s">
        <v>2606</v>
      </c>
      <c r="M305" s="30" t="s">
        <v>245</v>
      </c>
      <c r="N305" s="30" t="s">
        <v>245</v>
      </c>
      <c r="O305" s="30" t="s">
        <v>245</v>
      </c>
      <c r="P305" s="30" t="s">
        <v>245</v>
      </c>
      <c r="Q305" s="30" t="s">
        <v>245</v>
      </c>
      <c r="R305" s="30" t="s">
        <v>245</v>
      </c>
      <c r="S305" s="30" t="s">
        <v>245</v>
      </c>
      <c r="T305" s="30" t="s">
        <v>245</v>
      </c>
      <c r="U305" s="30" t="s">
        <v>245</v>
      </c>
      <c r="V305" s="30" t="s">
        <v>245</v>
      </c>
      <c r="W305" s="30" t="s">
        <v>245</v>
      </c>
      <c r="X305" s="30" t="s">
        <v>245</v>
      </c>
      <c r="Y305" s="30" t="s">
        <v>245</v>
      </c>
      <c r="Z305" s="30" t="s">
        <v>245</v>
      </c>
      <c r="AA305" s="30" t="s">
        <v>245</v>
      </c>
      <c r="AB305" s="30" t="s">
        <v>245</v>
      </c>
      <c r="AC305" s="30" t="s">
        <v>1491</v>
      </c>
      <c r="AD305" s="30" t="s">
        <v>245</v>
      </c>
      <c r="AE305" s="30" t="s">
        <v>245</v>
      </c>
      <c r="AF305" s="30" t="s">
        <v>245</v>
      </c>
      <c r="AG305" s="30" t="s">
        <v>245</v>
      </c>
      <c r="AH305" s="30" t="s">
        <v>245</v>
      </c>
      <c r="AI305" s="30" t="s">
        <v>245</v>
      </c>
      <c r="AJ305" s="30" t="s">
        <v>245</v>
      </c>
      <c r="AK305" s="30" t="s">
        <v>245</v>
      </c>
      <c r="AL305" s="30" t="s">
        <v>245</v>
      </c>
      <c r="AM305" s="30" t="s">
        <v>245</v>
      </c>
      <c r="AN305" s="30" t="s">
        <v>245</v>
      </c>
      <c r="AO305" s="30" t="s">
        <v>245</v>
      </c>
      <c r="AP305" s="30" t="s">
        <v>245</v>
      </c>
      <c r="AQ305" s="30" t="s">
        <v>2607</v>
      </c>
      <c r="AR305" s="30" t="s">
        <v>2608</v>
      </c>
      <c r="AS305" s="30" t="s">
        <v>245</v>
      </c>
      <c r="AT305" s="30" t="s">
        <v>245</v>
      </c>
      <c r="AU305" s="30" t="s">
        <v>245</v>
      </c>
      <c r="AV305" s="30" t="s">
        <v>245</v>
      </c>
      <c r="AW305" s="30">
        <v>2020</v>
      </c>
      <c r="AX305" s="30">
        <v>8</v>
      </c>
      <c r="AY305" s="30">
        <v>10</v>
      </c>
      <c r="AZ305" s="30" t="s">
        <v>245</v>
      </c>
      <c r="BA305" s="30" t="s">
        <v>245</v>
      </c>
      <c r="BB305" s="30" t="s">
        <v>245</v>
      </c>
      <c r="BC305" s="30" t="s">
        <v>245</v>
      </c>
      <c r="BD305" s="30">
        <v>1199</v>
      </c>
      <c r="BE305" s="30">
        <v>1214</v>
      </c>
      <c r="BF305" s="30" t="s">
        <v>245</v>
      </c>
      <c r="BG305" s="30" t="s">
        <v>2609</v>
      </c>
      <c r="BH305" s="30" t="str">
        <f>HYPERLINK("http://dx.doi.org/10.32604/jrm.2020.010826","http://dx.doi.org/10.32604/jrm.2020.010826")</f>
        <v>http://dx.doi.org/10.32604/jrm.2020.010826</v>
      </c>
      <c r="BI305" s="30" t="s">
        <v>245</v>
      </c>
      <c r="BJ305" s="30" t="s">
        <v>245</v>
      </c>
      <c r="BK305" s="30" t="s">
        <v>245</v>
      </c>
      <c r="BL305" s="30" t="s">
        <v>245</v>
      </c>
      <c r="BM305" s="30" t="s">
        <v>245</v>
      </c>
      <c r="BN305" s="30" t="s">
        <v>245</v>
      </c>
      <c r="BO305" s="30" t="s">
        <v>245</v>
      </c>
      <c r="BP305" s="30" t="s">
        <v>245</v>
      </c>
      <c r="BQ305" s="30" t="s">
        <v>245</v>
      </c>
      <c r="BR305" s="30" t="s">
        <v>245</v>
      </c>
      <c r="BS305" s="30" t="s">
        <v>245</v>
      </c>
      <c r="BT305" s="30" t="s">
        <v>245</v>
      </c>
      <c r="BU305" s="30" t="s">
        <v>2610</v>
      </c>
      <c r="BV305" s="30" t="str">
        <f>HYPERLINK("https%3A%2F%2Fwww.webofscience.com%2Fwos%2Fwoscc%2Ffull-record%2FWOS:000564519200002","View Full Record in Web of Science")</f>
        <v>View Full Record in Web of Science</v>
      </c>
    </row>
    <row r="306" spans="1:74" x14ac:dyDescent="0.2">
      <c r="A306" s="30" t="s">
        <v>243</v>
      </c>
      <c r="B306" s="30" t="s">
        <v>2611</v>
      </c>
      <c r="C306" s="30" t="s">
        <v>245</v>
      </c>
      <c r="D306" s="30" t="s">
        <v>245</v>
      </c>
      <c r="E306" s="30" t="s">
        <v>245</v>
      </c>
      <c r="F306" s="30" t="s">
        <v>2612</v>
      </c>
      <c r="G306" s="30" t="s">
        <v>245</v>
      </c>
      <c r="H306" s="30" t="s">
        <v>245</v>
      </c>
      <c r="I306" s="30" t="s">
        <v>2823</v>
      </c>
      <c r="K306" s="30" t="s">
        <v>2613</v>
      </c>
      <c r="L306" s="30" t="s">
        <v>1516</v>
      </c>
      <c r="M306" s="30" t="s">
        <v>245</v>
      </c>
      <c r="N306" s="30" t="s">
        <v>245</v>
      </c>
      <c r="O306" s="30" t="s">
        <v>245</v>
      </c>
      <c r="P306" s="30" t="s">
        <v>245</v>
      </c>
      <c r="Q306" s="30" t="s">
        <v>245</v>
      </c>
      <c r="R306" s="30" t="s">
        <v>245</v>
      </c>
      <c r="S306" s="30" t="s">
        <v>245</v>
      </c>
      <c r="T306" s="30" t="s">
        <v>245</v>
      </c>
      <c r="U306" s="30" t="s">
        <v>245</v>
      </c>
      <c r="V306" s="30" t="s">
        <v>245</v>
      </c>
      <c r="W306" s="30" t="s">
        <v>245</v>
      </c>
      <c r="X306" s="30" t="s">
        <v>245</v>
      </c>
      <c r="Y306" s="30" t="s">
        <v>245</v>
      </c>
      <c r="Z306" s="30" t="s">
        <v>245</v>
      </c>
      <c r="AA306" s="30" t="s">
        <v>245</v>
      </c>
      <c r="AB306" s="30" t="s">
        <v>245</v>
      </c>
      <c r="AC306" s="30" t="s">
        <v>2614</v>
      </c>
      <c r="AD306" s="30" t="s">
        <v>2615</v>
      </c>
      <c r="AE306" s="30" t="s">
        <v>245</v>
      </c>
      <c r="AF306" s="30" t="s">
        <v>245</v>
      </c>
      <c r="AG306" s="30" t="s">
        <v>245</v>
      </c>
      <c r="AH306" s="30" t="s">
        <v>245</v>
      </c>
      <c r="AI306" s="30" t="s">
        <v>245</v>
      </c>
      <c r="AJ306" s="30" t="s">
        <v>245</v>
      </c>
      <c r="AK306" s="30" t="s">
        <v>245</v>
      </c>
      <c r="AL306" s="30" t="s">
        <v>245</v>
      </c>
      <c r="AM306" s="30" t="s">
        <v>245</v>
      </c>
      <c r="AN306" s="30" t="s">
        <v>245</v>
      </c>
      <c r="AO306" s="30" t="s">
        <v>245</v>
      </c>
      <c r="AP306" s="30" t="s">
        <v>245</v>
      </c>
      <c r="AQ306" s="30" t="s">
        <v>1519</v>
      </c>
      <c r="AR306" s="30" t="s">
        <v>1520</v>
      </c>
      <c r="AS306" s="30" t="s">
        <v>245</v>
      </c>
      <c r="AT306" s="30" t="s">
        <v>245</v>
      </c>
      <c r="AU306" s="30" t="s">
        <v>245</v>
      </c>
      <c r="AV306" s="30" t="s">
        <v>245</v>
      </c>
      <c r="AW306" s="30">
        <v>2015</v>
      </c>
      <c r="AX306" s="30">
        <v>12</v>
      </c>
      <c r="AY306" s="30">
        <v>16</v>
      </c>
      <c r="AZ306" s="30" t="s">
        <v>245</v>
      </c>
      <c r="BA306" s="30" t="s">
        <v>245</v>
      </c>
      <c r="BB306" s="30" t="s">
        <v>245</v>
      </c>
      <c r="BC306" s="30" t="s">
        <v>245</v>
      </c>
      <c r="BD306" s="30">
        <v>4965</v>
      </c>
      <c r="BE306" s="30">
        <v>4977</v>
      </c>
      <c r="BF306" s="30" t="s">
        <v>245</v>
      </c>
      <c r="BG306" s="30" t="s">
        <v>2616</v>
      </c>
      <c r="BH306" s="30" t="str">
        <f>HYPERLINK("http://dx.doi.org/10.5194/bg-12-4965-2015","http://dx.doi.org/10.5194/bg-12-4965-2015")</f>
        <v>http://dx.doi.org/10.5194/bg-12-4965-2015</v>
      </c>
      <c r="BI306" s="30" t="s">
        <v>245</v>
      </c>
      <c r="BJ306" s="30" t="s">
        <v>245</v>
      </c>
      <c r="BK306" s="30" t="s">
        <v>245</v>
      </c>
      <c r="BL306" s="30" t="s">
        <v>245</v>
      </c>
      <c r="BM306" s="30" t="s">
        <v>245</v>
      </c>
      <c r="BN306" s="30" t="s">
        <v>245</v>
      </c>
      <c r="BO306" s="30" t="s">
        <v>245</v>
      </c>
      <c r="BP306" s="30" t="s">
        <v>245</v>
      </c>
      <c r="BQ306" s="30" t="s">
        <v>245</v>
      </c>
      <c r="BR306" s="30" t="s">
        <v>245</v>
      </c>
      <c r="BS306" s="30" t="s">
        <v>245</v>
      </c>
      <c r="BT306" s="30" t="s">
        <v>245</v>
      </c>
      <c r="BU306" s="30" t="s">
        <v>2617</v>
      </c>
      <c r="BV306" s="30" t="str">
        <f>HYPERLINK("https%3A%2F%2Fwww.webofscience.com%2Fwos%2Fwoscc%2Ffull-record%2FWOS:000360294800007","View Full Record in Web of Science")</f>
        <v>View Full Record in Web of Science</v>
      </c>
    </row>
    <row r="307" spans="1:74" x14ac:dyDescent="0.2">
      <c r="A307" s="30" t="s">
        <v>243</v>
      </c>
      <c r="B307" s="30" t="s">
        <v>2618</v>
      </c>
      <c r="C307" s="30" t="s">
        <v>245</v>
      </c>
      <c r="D307" s="30" t="s">
        <v>245</v>
      </c>
      <c r="E307" s="30" t="s">
        <v>245</v>
      </c>
      <c r="F307" s="30" t="s">
        <v>2619</v>
      </c>
      <c r="G307" s="30" t="s">
        <v>245</v>
      </c>
      <c r="H307" s="30" t="s">
        <v>245</v>
      </c>
      <c r="I307" s="30" t="s">
        <v>2823</v>
      </c>
      <c r="K307" s="30" t="s">
        <v>2620</v>
      </c>
      <c r="L307" s="30" t="s">
        <v>2621</v>
      </c>
      <c r="M307" s="30" t="s">
        <v>245</v>
      </c>
      <c r="N307" s="30" t="s">
        <v>245</v>
      </c>
      <c r="O307" s="30" t="s">
        <v>245</v>
      </c>
      <c r="P307" s="30" t="s">
        <v>245</v>
      </c>
      <c r="Q307" s="30" t="s">
        <v>245</v>
      </c>
      <c r="R307" s="30" t="s">
        <v>245</v>
      </c>
      <c r="S307" s="30" t="s">
        <v>245</v>
      </c>
      <c r="T307" s="30" t="s">
        <v>245</v>
      </c>
      <c r="U307" s="30" t="s">
        <v>245</v>
      </c>
      <c r="V307" s="30" t="s">
        <v>245</v>
      </c>
      <c r="W307" s="30" t="s">
        <v>245</v>
      </c>
      <c r="X307" s="30" t="s">
        <v>245</v>
      </c>
      <c r="Y307" s="30" t="s">
        <v>245</v>
      </c>
      <c r="Z307" s="30" t="s">
        <v>245</v>
      </c>
      <c r="AA307" s="30" t="s">
        <v>245</v>
      </c>
      <c r="AB307" s="30" t="s">
        <v>245</v>
      </c>
      <c r="AC307" s="30" t="s">
        <v>2622</v>
      </c>
      <c r="AD307" s="30" t="s">
        <v>2623</v>
      </c>
      <c r="AE307" s="30" t="s">
        <v>245</v>
      </c>
      <c r="AF307" s="30" t="s">
        <v>245</v>
      </c>
      <c r="AG307" s="30" t="s">
        <v>245</v>
      </c>
      <c r="AH307" s="30" t="s">
        <v>245</v>
      </c>
      <c r="AI307" s="30" t="s">
        <v>245</v>
      </c>
      <c r="AJ307" s="30" t="s">
        <v>245</v>
      </c>
      <c r="AK307" s="30" t="s">
        <v>245</v>
      </c>
      <c r="AL307" s="30" t="s">
        <v>245</v>
      </c>
      <c r="AM307" s="30" t="s">
        <v>245</v>
      </c>
      <c r="AN307" s="30" t="s">
        <v>245</v>
      </c>
      <c r="AO307" s="30" t="s">
        <v>245</v>
      </c>
      <c r="AP307" s="30" t="s">
        <v>245</v>
      </c>
      <c r="AQ307" s="30" t="s">
        <v>2624</v>
      </c>
      <c r="AR307" s="30" t="s">
        <v>2625</v>
      </c>
      <c r="AS307" s="30" t="s">
        <v>245</v>
      </c>
      <c r="AT307" s="30" t="s">
        <v>245</v>
      </c>
      <c r="AU307" s="30" t="s">
        <v>245</v>
      </c>
      <c r="AV307" s="30" t="s">
        <v>535</v>
      </c>
      <c r="AW307" s="30">
        <v>2014</v>
      </c>
      <c r="AX307" s="30">
        <v>119</v>
      </c>
      <c r="AY307" s="30">
        <v>8</v>
      </c>
      <c r="AZ307" s="30" t="s">
        <v>245</v>
      </c>
      <c r="BA307" s="30" t="s">
        <v>245</v>
      </c>
      <c r="BB307" s="30" t="s">
        <v>245</v>
      </c>
      <c r="BC307" s="30" t="s">
        <v>245</v>
      </c>
      <c r="BD307" s="30">
        <v>1698</v>
      </c>
      <c r="BE307" s="30">
        <v>1716</v>
      </c>
      <c r="BF307" s="30" t="s">
        <v>245</v>
      </c>
      <c r="BG307" s="30" t="s">
        <v>2626</v>
      </c>
      <c r="BH307" s="30" t="str">
        <f>HYPERLINK("http://dx.doi.org/10.1002/2013JG002544","http://dx.doi.org/10.1002/2013JG002544")</f>
        <v>http://dx.doi.org/10.1002/2013JG002544</v>
      </c>
      <c r="BI307" s="30" t="s">
        <v>245</v>
      </c>
      <c r="BJ307" s="30" t="s">
        <v>245</v>
      </c>
      <c r="BK307" s="30" t="s">
        <v>245</v>
      </c>
      <c r="BL307" s="30" t="s">
        <v>245</v>
      </c>
      <c r="BM307" s="30" t="s">
        <v>245</v>
      </c>
      <c r="BN307" s="30" t="s">
        <v>245</v>
      </c>
      <c r="BO307" s="30" t="s">
        <v>245</v>
      </c>
      <c r="BP307" s="30" t="s">
        <v>245</v>
      </c>
      <c r="BQ307" s="30" t="s">
        <v>245</v>
      </c>
      <c r="BR307" s="30" t="s">
        <v>245</v>
      </c>
      <c r="BS307" s="30" t="s">
        <v>245</v>
      </c>
      <c r="BT307" s="30" t="s">
        <v>245</v>
      </c>
      <c r="BU307" s="30" t="s">
        <v>2627</v>
      </c>
      <c r="BV307" s="30" t="str">
        <f>HYPERLINK("https%3A%2F%2Fwww.webofscience.com%2Fwos%2Fwoscc%2Ffull-record%2FWOS:000342993200014","View Full Record in Web of Science")</f>
        <v>View Full Record in Web of Science</v>
      </c>
    </row>
    <row r="308" spans="1:74" x14ac:dyDescent="0.2">
      <c r="A308" s="30" t="s">
        <v>243</v>
      </c>
      <c r="B308" s="30" t="s">
        <v>2628</v>
      </c>
      <c r="C308" s="30" t="s">
        <v>245</v>
      </c>
      <c r="D308" s="30" t="s">
        <v>245</v>
      </c>
      <c r="E308" s="30" t="s">
        <v>245</v>
      </c>
      <c r="F308" s="30" t="s">
        <v>2629</v>
      </c>
      <c r="G308" s="30" t="s">
        <v>245</v>
      </c>
      <c r="H308" s="30" t="s">
        <v>245</v>
      </c>
      <c r="I308" s="30" t="s">
        <v>2823</v>
      </c>
      <c r="K308" s="30" t="s">
        <v>2630</v>
      </c>
      <c r="L308" s="30" t="s">
        <v>1516</v>
      </c>
      <c r="M308" s="30" t="s">
        <v>245</v>
      </c>
      <c r="N308" s="30" t="s">
        <v>245</v>
      </c>
      <c r="O308" s="30" t="s">
        <v>245</v>
      </c>
      <c r="P308" s="30" t="s">
        <v>245</v>
      </c>
      <c r="Q308" s="30" t="s">
        <v>245</v>
      </c>
      <c r="R308" s="30" t="s">
        <v>245</v>
      </c>
      <c r="S308" s="30" t="s">
        <v>245</v>
      </c>
      <c r="T308" s="30" t="s">
        <v>245</v>
      </c>
      <c r="U308" s="30" t="s">
        <v>245</v>
      </c>
      <c r="V308" s="30" t="s">
        <v>245</v>
      </c>
      <c r="W308" s="30" t="s">
        <v>245</v>
      </c>
      <c r="X308" s="30" t="s">
        <v>245</v>
      </c>
      <c r="Y308" s="30" t="s">
        <v>245</v>
      </c>
      <c r="Z308" s="30" t="s">
        <v>245</v>
      </c>
      <c r="AA308" s="30" t="s">
        <v>245</v>
      </c>
      <c r="AB308" s="30" t="s">
        <v>245</v>
      </c>
      <c r="AC308" s="30" t="s">
        <v>2631</v>
      </c>
      <c r="AD308" s="30" t="s">
        <v>2632</v>
      </c>
      <c r="AE308" s="30" t="s">
        <v>245</v>
      </c>
      <c r="AF308" s="30" t="s">
        <v>245</v>
      </c>
      <c r="AG308" s="30" t="s">
        <v>245</v>
      </c>
      <c r="AH308" s="30" t="s">
        <v>245</v>
      </c>
      <c r="AI308" s="30" t="s">
        <v>245</v>
      </c>
      <c r="AJ308" s="30" t="s">
        <v>245</v>
      </c>
      <c r="AK308" s="30" t="s">
        <v>245</v>
      </c>
      <c r="AL308" s="30" t="s">
        <v>245</v>
      </c>
      <c r="AM308" s="30" t="s">
        <v>245</v>
      </c>
      <c r="AN308" s="30" t="s">
        <v>245</v>
      </c>
      <c r="AO308" s="30" t="s">
        <v>245</v>
      </c>
      <c r="AP308" s="30" t="s">
        <v>245</v>
      </c>
      <c r="AQ308" s="30" t="s">
        <v>1519</v>
      </c>
      <c r="AR308" s="30" t="s">
        <v>1520</v>
      </c>
      <c r="AS308" s="30" t="s">
        <v>245</v>
      </c>
      <c r="AT308" s="30" t="s">
        <v>245</v>
      </c>
      <c r="AU308" s="30" t="s">
        <v>245</v>
      </c>
      <c r="AV308" s="30" t="s">
        <v>2633</v>
      </c>
      <c r="AW308" s="30">
        <v>2023</v>
      </c>
      <c r="AX308" s="30">
        <v>20</v>
      </c>
      <c r="AY308" s="30">
        <v>2</v>
      </c>
      <c r="AZ308" s="30" t="s">
        <v>245</v>
      </c>
      <c r="BA308" s="30" t="s">
        <v>245</v>
      </c>
      <c r="BB308" s="30" t="s">
        <v>245</v>
      </c>
      <c r="BC308" s="30" t="s">
        <v>245</v>
      </c>
      <c r="BD308" s="30">
        <v>295</v>
      </c>
      <c r="BE308" s="30">
        <v>323</v>
      </c>
      <c r="BF308" s="30" t="s">
        <v>245</v>
      </c>
      <c r="BG308" s="30" t="s">
        <v>2634</v>
      </c>
      <c r="BH308" s="30" t="str">
        <f>HYPERLINK("http://dx.doi.org/10.5194/bg-20-295-2023","http://dx.doi.org/10.5194/bg-20-295-2023")</f>
        <v>http://dx.doi.org/10.5194/bg-20-295-2023</v>
      </c>
      <c r="BI308" s="30" t="s">
        <v>245</v>
      </c>
      <c r="BJ308" s="30" t="s">
        <v>245</v>
      </c>
      <c r="BK308" s="30" t="s">
        <v>245</v>
      </c>
      <c r="BL308" s="30" t="s">
        <v>245</v>
      </c>
      <c r="BM308" s="30" t="s">
        <v>245</v>
      </c>
      <c r="BN308" s="30" t="s">
        <v>245</v>
      </c>
      <c r="BO308" s="30" t="s">
        <v>245</v>
      </c>
      <c r="BP308" s="30" t="s">
        <v>245</v>
      </c>
      <c r="BQ308" s="30" t="s">
        <v>245</v>
      </c>
      <c r="BR308" s="30" t="s">
        <v>245</v>
      </c>
      <c r="BS308" s="30" t="s">
        <v>245</v>
      </c>
      <c r="BT308" s="30" t="s">
        <v>245</v>
      </c>
      <c r="BU308" s="30" t="s">
        <v>2635</v>
      </c>
      <c r="BV308" s="30" t="str">
        <f>HYPERLINK("https%3A%2F%2Fwww.webofscience.com%2Fwos%2Fwoscc%2Ffull-record%2FWOS:000922050400001","View Full Record in Web of Science")</f>
        <v>View Full Record in Web of Science</v>
      </c>
    </row>
    <row r="309" spans="1:74" x14ac:dyDescent="0.2">
      <c r="A309" s="30" t="s">
        <v>243</v>
      </c>
      <c r="B309" s="30" t="s">
        <v>2636</v>
      </c>
      <c r="C309" s="30" t="s">
        <v>245</v>
      </c>
      <c r="D309" s="30" t="s">
        <v>245</v>
      </c>
      <c r="E309" s="30" t="s">
        <v>245</v>
      </c>
      <c r="F309" s="30" t="s">
        <v>2637</v>
      </c>
      <c r="G309" s="30" t="s">
        <v>245</v>
      </c>
      <c r="H309" s="30" t="s">
        <v>245</v>
      </c>
      <c r="I309" s="30" t="s">
        <v>2823</v>
      </c>
      <c r="K309" s="30" t="s">
        <v>2638</v>
      </c>
      <c r="L309" s="30" t="s">
        <v>501</v>
      </c>
      <c r="M309" s="30" t="s">
        <v>245</v>
      </c>
      <c r="N309" s="30" t="s">
        <v>245</v>
      </c>
      <c r="O309" s="30" t="s">
        <v>245</v>
      </c>
      <c r="P309" s="30" t="s">
        <v>245</v>
      </c>
      <c r="Q309" s="30" t="s">
        <v>245</v>
      </c>
      <c r="R309" s="30" t="s">
        <v>245</v>
      </c>
      <c r="S309" s="30" t="s">
        <v>245</v>
      </c>
      <c r="T309" s="30" t="s">
        <v>245</v>
      </c>
      <c r="U309" s="30" t="s">
        <v>245</v>
      </c>
      <c r="V309" s="30" t="s">
        <v>245</v>
      </c>
      <c r="W309" s="30" t="s">
        <v>245</v>
      </c>
      <c r="X309" s="30" t="s">
        <v>245</v>
      </c>
      <c r="Y309" s="30" t="s">
        <v>245</v>
      </c>
      <c r="Z309" s="30" t="s">
        <v>245</v>
      </c>
      <c r="AA309" s="30" t="s">
        <v>245</v>
      </c>
      <c r="AB309" s="30" t="s">
        <v>245</v>
      </c>
      <c r="AC309" s="30" t="s">
        <v>2639</v>
      </c>
      <c r="AD309" s="30" t="s">
        <v>2640</v>
      </c>
      <c r="AE309" s="30" t="s">
        <v>245</v>
      </c>
      <c r="AF309" s="30" t="s">
        <v>245</v>
      </c>
      <c r="AG309" s="30" t="s">
        <v>245</v>
      </c>
      <c r="AH309" s="30" t="s">
        <v>245</v>
      </c>
      <c r="AI309" s="30" t="s">
        <v>245</v>
      </c>
      <c r="AJ309" s="30" t="s">
        <v>245</v>
      </c>
      <c r="AK309" s="30" t="s">
        <v>245</v>
      </c>
      <c r="AL309" s="30" t="s">
        <v>245</v>
      </c>
      <c r="AM309" s="30" t="s">
        <v>245</v>
      </c>
      <c r="AN309" s="30" t="s">
        <v>245</v>
      </c>
      <c r="AO309" s="30" t="s">
        <v>245</v>
      </c>
      <c r="AP309" s="30" t="s">
        <v>245</v>
      </c>
      <c r="AQ309" s="30" t="s">
        <v>504</v>
      </c>
      <c r="AR309" s="30" t="s">
        <v>505</v>
      </c>
      <c r="AS309" s="30" t="s">
        <v>245</v>
      </c>
      <c r="AT309" s="30" t="s">
        <v>245</v>
      </c>
      <c r="AU309" s="30" t="s">
        <v>245</v>
      </c>
      <c r="AV309" s="30" t="s">
        <v>550</v>
      </c>
      <c r="AW309" s="30">
        <v>2021</v>
      </c>
      <c r="AX309" s="30">
        <v>167</v>
      </c>
      <c r="AY309" s="30" t="s">
        <v>245</v>
      </c>
      <c r="AZ309" s="30" t="s">
        <v>245</v>
      </c>
      <c r="BA309" s="30" t="s">
        <v>245</v>
      </c>
      <c r="BB309" s="30" t="s">
        <v>245</v>
      </c>
      <c r="BC309" s="30" t="s">
        <v>245</v>
      </c>
      <c r="BD309" s="30" t="s">
        <v>245</v>
      </c>
      <c r="BE309" s="30" t="s">
        <v>245</v>
      </c>
      <c r="BF309" s="30">
        <v>104163</v>
      </c>
      <c r="BG309" s="30" t="s">
        <v>2641</v>
      </c>
      <c r="BH309" s="30" t="str">
        <f>HYPERLINK("http://dx.doi.org/10.1016/j.apsoil.2021.104163","http://dx.doi.org/10.1016/j.apsoil.2021.104163")</f>
        <v>http://dx.doi.org/10.1016/j.apsoil.2021.104163</v>
      </c>
      <c r="BI309" s="30" t="s">
        <v>245</v>
      </c>
      <c r="BJ309" s="30" t="s">
        <v>1328</v>
      </c>
      <c r="BK309" s="30" t="s">
        <v>245</v>
      </c>
      <c r="BL309" s="30" t="s">
        <v>245</v>
      </c>
      <c r="BM309" s="30" t="s">
        <v>245</v>
      </c>
      <c r="BN309" s="30" t="s">
        <v>245</v>
      </c>
      <c r="BO309" s="30" t="s">
        <v>245</v>
      </c>
      <c r="BP309" s="30" t="s">
        <v>245</v>
      </c>
      <c r="BQ309" s="30" t="s">
        <v>245</v>
      </c>
      <c r="BR309" s="30" t="s">
        <v>245</v>
      </c>
      <c r="BS309" s="30" t="s">
        <v>245</v>
      </c>
      <c r="BT309" s="30" t="s">
        <v>245</v>
      </c>
      <c r="BU309" s="30" t="s">
        <v>2642</v>
      </c>
      <c r="BV309" s="30" t="str">
        <f>HYPERLINK("https%3A%2F%2Fwww.webofscience.com%2Fwos%2Fwoscc%2Ffull-record%2FWOS:000691502100006","View Full Record in Web of Science")</f>
        <v>View Full Record in Web of Science</v>
      </c>
    </row>
    <row r="310" spans="1:74" x14ac:dyDescent="0.2">
      <c r="A310" s="30" t="s">
        <v>243</v>
      </c>
      <c r="B310" s="30" t="s">
        <v>2643</v>
      </c>
      <c r="C310" s="30" t="s">
        <v>245</v>
      </c>
      <c r="D310" s="30" t="s">
        <v>245</v>
      </c>
      <c r="E310" s="30" t="s">
        <v>245</v>
      </c>
      <c r="F310" s="30" t="s">
        <v>2644</v>
      </c>
      <c r="G310" s="30" t="s">
        <v>245</v>
      </c>
      <c r="H310" s="30" t="s">
        <v>245</v>
      </c>
      <c r="I310" s="30" t="s">
        <v>2823</v>
      </c>
      <c r="K310" s="30" t="s">
        <v>2645</v>
      </c>
      <c r="L310" s="30" t="s">
        <v>2646</v>
      </c>
      <c r="M310" s="30" t="s">
        <v>245</v>
      </c>
      <c r="N310" s="30" t="s">
        <v>245</v>
      </c>
      <c r="O310" s="30" t="s">
        <v>245</v>
      </c>
      <c r="P310" s="30" t="s">
        <v>245</v>
      </c>
      <c r="Q310" s="30" t="s">
        <v>245</v>
      </c>
      <c r="R310" s="30" t="s">
        <v>245</v>
      </c>
      <c r="S310" s="30" t="s">
        <v>245</v>
      </c>
      <c r="T310" s="30" t="s">
        <v>245</v>
      </c>
      <c r="U310" s="30" t="s">
        <v>245</v>
      </c>
      <c r="V310" s="30" t="s">
        <v>245</v>
      </c>
      <c r="W310" s="30" t="s">
        <v>245</v>
      </c>
      <c r="X310" s="30" t="s">
        <v>245</v>
      </c>
      <c r="Y310" s="30" t="s">
        <v>245</v>
      </c>
      <c r="Z310" s="30" t="s">
        <v>245</v>
      </c>
      <c r="AA310" s="30" t="s">
        <v>245</v>
      </c>
      <c r="AB310" s="30" t="s">
        <v>245</v>
      </c>
      <c r="AC310" s="30" t="s">
        <v>2647</v>
      </c>
      <c r="AD310" s="30" t="s">
        <v>2648</v>
      </c>
      <c r="AE310" s="30" t="s">
        <v>245</v>
      </c>
      <c r="AF310" s="30" t="s">
        <v>245</v>
      </c>
      <c r="AG310" s="30" t="s">
        <v>245</v>
      </c>
      <c r="AH310" s="30" t="s">
        <v>245</v>
      </c>
      <c r="AI310" s="30" t="s">
        <v>245</v>
      </c>
      <c r="AJ310" s="30" t="s">
        <v>245</v>
      </c>
      <c r="AK310" s="30" t="s">
        <v>245</v>
      </c>
      <c r="AL310" s="30" t="s">
        <v>245</v>
      </c>
      <c r="AM310" s="30" t="s">
        <v>245</v>
      </c>
      <c r="AN310" s="30" t="s">
        <v>245</v>
      </c>
      <c r="AO310" s="30" t="s">
        <v>245</v>
      </c>
      <c r="AP310" s="30" t="s">
        <v>245</v>
      </c>
      <c r="AQ310" s="30" t="s">
        <v>2649</v>
      </c>
      <c r="AR310" s="30" t="s">
        <v>2650</v>
      </c>
      <c r="AS310" s="30" t="s">
        <v>245</v>
      </c>
      <c r="AT310" s="30" t="s">
        <v>245</v>
      </c>
      <c r="AU310" s="30" t="s">
        <v>245</v>
      </c>
      <c r="AV310" s="30" t="s">
        <v>2651</v>
      </c>
      <c r="AW310" s="30">
        <v>2024</v>
      </c>
      <c r="AX310" s="30">
        <v>255</v>
      </c>
      <c r="AY310" s="30" t="s">
        <v>245</v>
      </c>
      <c r="AZ310" s="30" t="s">
        <v>245</v>
      </c>
      <c r="BA310" s="30" t="s">
        <v>245</v>
      </c>
      <c r="BB310" s="30" t="s">
        <v>245</v>
      </c>
      <c r="BC310" s="30" t="s">
        <v>245</v>
      </c>
      <c r="BD310" s="30" t="s">
        <v>245</v>
      </c>
      <c r="BE310" s="30" t="s">
        <v>245</v>
      </c>
      <c r="BF310" s="30">
        <v>121498</v>
      </c>
      <c r="BG310" s="30" t="s">
        <v>2652</v>
      </c>
      <c r="BH310" s="30" t="str">
        <f>HYPERLINK("http://dx.doi.org/10.1016/j.watres.2024.121498","http://dx.doi.org/10.1016/j.watres.2024.121498")</f>
        <v>http://dx.doi.org/10.1016/j.watres.2024.121498</v>
      </c>
      <c r="BI310" s="30" t="s">
        <v>245</v>
      </c>
      <c r="BJ310" s="30" t="s">
        <v>2653</v>
      </c>
      <c r="BK310" s="30" t="s">
        <v>245</v>
      </c>
      <c r="BL310" s="30" t="s">
        <v>245</v>
      </c>
      <c r="BM310" s="30" t="s">
        <v>245</v>
      </c>
      <c r="BN310" s="30" t="s">
        <v>245</v>
      </c>
      <c r="BO310" s="30" t="s">
        <v>245</v>
      </c>
      <c r="BP310" s="30">
        <v>38522398</v>
      </c>
      <c r="BQ310" s="30" t="s">
        <v>245</v>
      </c>
      <c r="BR310" s="30" t="s">
        <v>245</v>
      </c>
      <c r="BS310" s="30" t="s">
        <v>245</v>
      </c>
      <c r="BT310" s="30" t="s">
        <v>245</v>
      </c>
      <c r="BU310" s="30" t="s">
        <v>2654</v>
      </c>
      <c r="BV310" s="30" t="str">
        <f>HYPERLINK("https%3A%2F%2Fwww.webofscience.com%2Fwos%2Fwoscc%2Ffull-record%2FWOS:001218624200001","View Full Record in Web of Science")</f>
        <v>View Full Record in Web of Science</v>
      </c>
    </row>
    <row r="311" spans="1:74" x14ac:dyDescent="0.2">
      <c r="A311" s="30" t="s">
        <v>243</v>
      </c>
      <c r="B311" s="30" t="s">
        <v>2655</v>
      </c>
      <c r="C311" s="30" t="s">
        <v>245</v>
      </c>
      <c r="D311" s="30" t="s">
        <v>245</v>
      </c>
      <c r="E311" s="30" t="s">
        <v>245</v>
      </c>
      <c r="F311" s="30" t="s">
        <v>2656</v>
      </c>
      <c r="G311" s="30" t="s">
        <v>245</v>
      </c>
      <c r="H311" s="30" t="s">
        <v>245</v>
      </c>
      <c r="I311" s="30" t="s">
        <v>2840</v>
      </c>
      <c r="K311" s="30" t="s">
        <v>2657</v>
      </c>
      <c r="L311" s="30" t="s">
        <v>2658</v>
      </c>
      <c r="M311" s="30" t="s">
        <v>245</v>
      </c>
      <c r="N311" s="30" t="s">
        <v>245</v>
      </c>
      <c r="O311" s="30" t="s">
        <v>245</v>
      </c>
      <c r="P311" s="30" t="s">
        <v>245</v>
      </c>
      <c r="Q311" s="30" t="s">
        <v>245</v>
      </c>
      <c r="R311" s="30" t="s">
        <v>245</v>
      </c>
      <c r="S311" s="30" t="s">
        <v>245</v>
      </c>
      <c r="T311" s="30" t="s">
        <v>245</v>
      </c>
      <c r="U311" s="30" t="s">
        <v>245</v>
      </c>
      <c r="V311" s="30" t="s">
        <v>245</v>
      </c>
      <c r="W311" s="30" t="s">
        <v>245</v>
      </c>
      <c r="X311" s="30" t="s">
        <v>245</v>
      </c>
      <c r="Y311" s="30" t="s">
        <v>245</v>
      </c>
      <c r="Z311" s="30" t="s">
        <v>245</v>
      </c>
      <c r="AA311" s="30" t="s">
        <v>245</v>
      </c>
      <c r="AB311" s="30" t="s">
        <v>245</v>
      </c>
      <c r="AC311" s="30" t="s">
        <v>2659</v>
      </c>
      <c r="AD311" s="30" t="s">
        <v>2660</v>
      </c>
      <c r="AE311" s="30" t="s">
        <v>245</v>
      </c>
      <c r="AF311" s="30" t="s">
        <v>245</v>
      </c>
      <c r="AG311" s="30" t="s">
        <v>245</v>
      </c>
      <c r="AH311" s="30" t="s">
        <v>245</v>
      </c>
      <c r="AI311" s="30" t="s">
        <v>245</v>
      </c>
      <c r="AJ311" s="30" t="s">
        <v>245</v>
      </c>
      <c r="AK311" s="30" t="s">
        <v>245</v>
      </c>
      <c r="AL311" s="30" t="s">
        <v>245</v>
      </c>
      <c r="AM311" s="30" t="s">
        <v>245</v>
      </c>
      <c r="AN311" s="30" t="s">
        <v>245</v>
      </c>
      <c r="AO311" s="30" t="s">
        <v>245</v>
      </c>
      <c r="AP311" s="30" t="s">
        <v>245</v>
      </c>
      <c r="AQ311" s="30" t="s">
        <v>2661</v>
      </c>
      <c r="AR311" s="30" t="s">
        <v>2662</v>
      </c>
      <c r="AS311" s="30" t="s">
        <v>245</v>
      </c>
      <c r="AT311" s="30" t="s">
        <v>245</v>
      </c>
      <c r="AU311" s="30" t="s">
        <v>245</v>
      </c>
      <c r="AV311" s="30" t="s">
        <v>265</v>
      </c>
      <c r="AW311" s="30">
        <v>2014</v>
      </c>
      <c r="AX311" s="30">
        <v>43</v>
      </c>
      <c r="AY311" s="30">
        <v>6</v>
      </c>
      <c r="AZ311" s="30" t="s">
        <v>245</v>
      </c>
      <c r="BA311" s="30" t="s">
        <v>245</v>
      </c>
      <c r="BB311" s="30" t="s">
        <v>298</v>
      </c>
      <c r="BC311" s="30" t="s">
        <v>245</v>
      </c>
      <c r="BD311" s="30">
        <v>989</v>
      </c>
      <c r="BE311" s="30">
        <v>997</v>
      </c>
      <c r="BF311" s="30" t="s">
        <v>245</v>
      </c>
      <c r="BG311" s="30" t="s">
        <v>245</v>
      </c>
      <c r="BH311" s="30" t="s">
        <v>245</v>
      </c>
      <c r="BI311" s="30" t="s">
        <v>245</v>
      </c>
      <c r="BJ311" s="30" t="s">
        <v>245</v>
      </c>
      <c r="BK311" s="30" t="s">
        <v>245</v>
      </c>
      <c r="BL311" s="30" t="s">
        <v>245</v>
      </c>
      <c r="BM311" s="30" t="s">
        <v>245</v>
      </c>
      <c r="BN311" s="30" t="s">
        <v>245</v>
      </c>
      <c r="BO311" s="30" t="s">
        <v>245</v>
      </c>
      <c r="BP311" s="30" t="s">
        <v>245</v>
      </c>
      <c r="BQ311" s="30" t="s">
        <v>245</v>
      </c>
      <c r="BR311" s="30" t="s">
        <v>245</v>
      </c>
      <c r="BS311" s="30" t="s">
        <v>245</v>
      </c>
      <c r="BT311" s="30" t="s">
        <v>245</v>
      </c>
      <c r="BU311" s="30" t="s">
        <v>2663</v>
      </c>
      <c r="BV311" s="30" t="str">
        <f>HYPERLINK("https%3A%2F%2Fwww.webofscience.com%2Fwos%2Fwoscc%2Ffull-record%2FWOS:000349813100011","View Full Record in Web of Science")</f>
        <v>View Full Record in Web of Science</v>
      </c>
    </row>
    <row r="312" spans="1:74" x14ac:dyDescent="0.2">
      <c r="A312" s="30" t="s">
        <v>243</v>
      </c>
      <c r="B312" s="30" t="s">
        <v>2664</v>
      </c>
      <c r="C312" s="30" t="s">
        <v>245</v>
      </c>
      <c r="D312" s="30" t="s">
        <v>245</v>
      </c>
      <c r="E312" s="30" t="s">
        <v>245</v>
      </c>
      <c r="F312" s="30" t="s">
        <v>2665</v>
      </c>
      <c r="G312" s="30" t="s">
        <v>245</v>
      </c>
      <c r="H312" s="30" t="s">
        <v>245</v>
      </c>
      <c r="I312" s="30" t="s">
        <v>2823</v>
      </c>
      <c r="K312" s="30" t="s">
        <v>2666</v>
      </c>
      <c r="L312" s="30" t="s">
        <v>1054</v>
      </c>
      <c r="M312" s="30" t="s">
        <v>245</v>
      </c>
      <c r="N312" s="30" t="s">
        <v>245</v>
      </c>
      <c r="O312" s="30" t="s">
        <v>245</v>
      </c>
      <c r="P312" s="30" t="s">
        <v>245</v>
      </c>
      <c r="Q312" s="30" t="s">
        <v>245</v>
      </c>
      <c r="R312" s="30" t="s">
        <v>245</v>
      </c>
      <c r="S312" s="30" t="s">
        <v>245</v>
      </c>
      <c r="T312" s="30" t="s">
        <v>245</v>
      </c>
      <c r="U312" s="30" t="s">
        <v>245</v>
      </c>
      <c r="V312" s="30" t="s">
        <v>245</v>
      </c>
      <c r="W312" s="30" t="s">
        <v>245</v>
      </c>
      <c r="X312" s="30" t="s">
        <v>245</v>
      </c>
      <c r="Y312" s="30" t="s">
        <v>245</v>
      </c>
      <c r="Z312" s="30" t="s">
        <v>245</v>
      </c>
      <c r="AA312" s="30" t="s">
        <v>245</v>
      </c>
      <c r="AB312" s="30" t="s">
        <v>245</v>
      </c>
      <c r="AC312" s="30" t="s">
        <v>2667</v>
      </c>
      <c r="AD312" s="30" t="s">
        <v>2668</v>
      </c>
      <c r="AE312" s="30" t="s">
        <v>245</v>
      </c>
      <c r="AF312" s="30" t="s">
        <v>245</v>
      </c>
      <c r="AG312" s="30" t="s">
        <v>245</v>
      </c>
      <c r="AH312" s="30" t="s">
        <v>245</v>
      </c>
      <c r="AI312" s="30" t="s">
        <v>245</v>
      </c>
      <c r="AJ312" s="30" t="s">
        <v>245</v>
      </c>
      <c r="AK312" s="30" t="s">
        <v>245</v>
      </c>
      <c r="AL312" s="30" t="s">
        <v>245</v>
      </c>
      <c r="AM312" s="30" t="s">
        <v>245</v>
      </c>
      <c r="AN312" s="30" t="s">
        <v>245</v>
      </c>
      <c r="AO312" s="30" t="s">
        <v>245</v>
      </c>
      <c r="AP312" s="30" t="s">
        <v>245</v>
      </c>
      <c r="AQ312" s="30" t="s">
        <v>1055</v>
      </c>
      <c r="AR312" s="30" t="s">
        <v>1056</v>
      </c>
      <c r="AS312" s="30" t="s">
        <v>245</v>
      </c>
      <c r="AT312" s="30" t="s">
        <v>245</v>
      </c>
      <c r="AU312" s="30" t="s">
        <v>245</v>
      </c>
      <c r="AV312" s="30" t="s">
        <v>535</v>
      </c>
      <c r="AW312" s="30">
        <v>2021</v>
      </c>
      <c r="AX312" s="30">
        <v>41</v>
      </c>
      <c r="AY312" s="30">
        <v>6</v>
      </c>
      <c r="AZ312" s="30" t="s">
        <v>245</v>
      </c>
      <c r="BA312" s="30" t="s">
        <v>245</v>
      </c>
      <c r="BB312" s="30" t="s">
        <v>245</v>
      </c>
      <c r="BC312" s="30" t="s">
        <v>245</v>
      </c>
      <c r="BD312" s="30" t="s">
        <v>245</v>
      </c>
      <c r="BE312" s="30" t="s">
        <v>245</v>
      </c>
      <c r="BF312" s="30">
        <v>71</v>
      </c>
      <c r="BG312" s="30" t="s">
        <v>2669</v>
      </c>
      <c r="BH312" s="30" t="str">
        <f>HYPERLINK("http://dx.doi.org/10.1007/s13157-021-01465-y","http://dx.doi.org/10.1007/s13157-021-01465-y")</f>
        <v>http://dx.doi.org/10.1007/s13157-021-01465-y</v>
      </c>
      <c r="BI312" s="30" t="s">
        <v>245</v>
      </c>
      <c r="BJ312" s="30" t="s">
        <v>245</v>
      </c>
      <c r="BK312" s="30" t="s">
        <v>245</v>
      </c>
      <c r="BL312" s="30" t="s">
        <v>245</v>
      </c>
      <c r="BM312" s="30" t="s">
        <v>245</v>
      </c>
      <c r="BN312" s="30" t="s">
        <v>245</v>
      </c>
      <c r="BO312" s="30" t="s">
        <v>245</v>
      </c>
      <c r="BP312" s="30" t="s">
        <v>245</v>
      </c>
      <c r="BQ312" s="30" t="s">
        <v>245</v>
      </c>
      <c r="BR312" s="30" t="s">
        <v>245</v>
      </c>
      <c r="BS312" s="30" t="s">
        <v>245</v>
      </c>
      <c r="BT312" s="30" t="s">
        <v>245</v>
      </c>
      <c r="BU312" s="30" t="s">
        <v>2670</v>
      </c>
      <c r="BV312" s="30" t="str">
        <f>HYPERLINK("https%3A%2F%2Fwww.webofscience.com%2Fwos%2Fwoscc%2Ffull-record%2FWOS:000691579000003","View Full Record in Web of Science")</f>
        <v>View Full Record in Web of Science</v>
      </c>
    </row>
    <row r="313" spans="1:74" x14ac:dyDescent="0.2">
      <c r="A313" s="30" t="s">
        <v>243</v>
      </c>
      <c r="B313" s="30" t="s">
        <v>2671</v>
      </c>
      <c r="C313" s="30" t="s">
        <v>245</v>
      </c>
      <c r="D313" s="30" t="s">
        <v>245</v>
      </c>
      <c r="E313" s="30" t="s">
        <v>245</v>
      </c>
      <c r="F313" s="30" t="s">
        <v>2672</v>
      </c>
      <c r="G313" s="30" t="s">
        <v>245</v>
      </c>
      <c r="H313" s="30" t="s">
        <v>245</v>
      </c>
      <c r="J313" s="30" t="s">
        <v>2833</v>
      </c>
      <c r="K313" s="30" t="s">
        <v>2673</v>
      </c>
      <c r="L313" s="30" t="s">
        <v>641</v>
      </c>
      <c r="M313" s="30" t="s">
        <v>245</v>
      </c>
      <c r="N313" s="30" t="s">
        <v>245</v>
      </c>
      <c r="O313" s="30" t="s">
        <v>245</v>
      </c>
      <c r="P313" s="30" t="s">
        <v>245</v>
      </c>
      <c r="Q313" s="30" t="s">
        <v>245</v>
      </c>
      <c r="R313" s="30" t="s">
        <v>245</v>
      </c>
      <c r="S313" s="30" t="s">
        <v>245</v>
      </c>
      <c r="T313" s="30" t="s">
        <v>245</v>
      </c>
      <c r="U313" s="30" t="s">
        <v>245</v>
      </c>
      <c r="V313" s="30" t="s">
        <v>245</v>
      </c>
      <c r="W313" s="30" t="s">
        <v>245</v>
      </c>
      <c r="X313" s="30" t="s">
        <v>245</v>
      </c>
      <c r="Y313" s="30" t="s">
        <v>245</v>
      </c>
      <c r="Z313" s="30" t="s">
        <v>245</v>
      </c>
      <c r="AA313" s="30" t="s">
        <v>245</v>
      </c>
      <c r="AB313" s="30" t="s">
        <v>245</v>
      </c>
      <c r="AC313" s="30" t="s">
        <v>245</v>
      </c>
      <c r="AD313" s="30" t="s">
        <v>2674</v>
      </c>
      <c r="AE313" s="30" t="s">
        <v>245</v>
      </c>
      <c r="AF313" s="30" t="s">
        <v>245</v>
      </c>
      <c r="AG313" s="30" t="s">
        <v>245</v>
      </c>
      <c r="AH313" s="30" t="s">
        <v>245</v>
      </c>
      <c r="AI313" s="30" t="s">
        <v>245</v>
      </c>
      <c r="AJ313" s="30" t="s">
        <v>245</v>
      </c>
      <c r="AK313" s="30" t="s">
        <v>245</v>
      </c>
      <c r="AL313" s="30" t="s">
        <v>245</v>
      </c>
      <c r="AM313" s="30" t="s">
        <v>245</v>
      </c>
      <c r="AN313" s="30" t="s">
        <v>245</v>
      </c>
      <c r="AO313" s="30" t="s">
        <v>245</v>
      </c>
      <c r="AP313" s="30" t="s">
        <v>245</v>
      </c>
      <c r="AQ313" s="30" t="s">
        <v>644</v>
      </c>
      <c r="AR313" s="30" t="s">
        <v>645</v>
      </c>
      <c r="AS313" s="30" t="s">
        <v>245</v>
      </c>
      <c r="AT313" s="30" t="s">
        <v>245</v>
      </c>
      <c r="AU313" s="30" t="s">
        <v>245</v>
      </c>
      <c r="AV313" s="30" t="s">
        <v>286</v>
      </c>
      <c r="AW313" s="30">
        <v>2022</v>
      </c>
      <c r="AX313" s="30">
        <v>51</v>
      </c>
      <c r="AY313" s="30">
        <v>1</v>
      </c>
      <c r="AZ313" s="30" t="s">
        <v>245</v>
      </c>
      <c r="BA313" s="30" t="s">
        <v>245</v>
      </c>
      <c r="BB313" s="30" t="s">
        <v>245</v>
      </c>
      <c r="BC313" s="30" t="s">
        <v>245</v>
      </c>
      <c r="BD313" s="30">
        <v>1</v>
      </c>
      <c r="BE313" s="30">
        <v>18</v>
      </c>
      <c r="BF313" s="30" t="s">
        <v>245</v>
      </c>
      <c r="BG313" s="30" t="s">
        <v>2675</v>
      </c>
      <c r="BH313" s="30" t="str">
        <f>HYPERLINK("http://dx.doi.org/10.1002/jeq2.20302","http://dx.doi.org/10.1002/jeq2.20302")</f>
        <v>http://dx.doi.org/10.1002/jeq2.20302</v>
      </c>
      <c r="BI313" s="30" t="s">
        <v>245</v>
      </c>
      <c r="BJ313" s="30" t="s">
        <v>2676</v>
      </c>
      <c r="BK313" s="30" t="s">
        <v>245</v>
      </c>
      <c r="BL313" s="30" t="s">
        <v>245</v>
      </c>
      <c r="BM313" s="30" t="s">
        <v>245</v>
      </c>
      <c r="BN313" s="30" t="s">
        <v>245</v>
      </c>
      <c r="BO313" s="30" t="s">
        <v>245</v>
      </c>
      <c r="BP313" s="30">
        <v>34699064</v>
      </c>
      <c r="BQ313" s="30" t="s">
        <v>245</v>
      </c>
      <c r="BR313" s="30" t="s">
        <v>245</v>
      </c>
      <c r="BS313" s="30" t="s">
        <v>245</v>
      </c>
      <c r="BT313" s="30" t="s">
        <v>245</v>
      </c>
      <c r="BU313" s="30" t="s">
        <v>2677</v>
      </c>
      <c r="BV313" s="30" t="str">
        <f>HYPERLINK("https%3A%2F%2Fwww.webofscience.com%2Fwos%2Fwoscc%2Ffull-record%2FWOS:000722215100001","View Full Record in Web of Science")</f>
        <v>View Full Record in Web of Science</v>
      </c>
    </row>
    <row r="314" spans="1:74" x14ac:dyDescent="0.2">
      <c r="A314" s="30" t="s">
        <v>243</v>
      </c>
      <c r="B314" s="30" t="s">
        <v>2678</v>
      </c>
      <c r="C314" s="30" t="s">
        <v>245</v>
      </c>
      <c r="D314" s="30" t="s">
        <v>245</v>
      </c>
      <c r="E314" s="30" t="s">
        <v>245</v>
      </c>
      <c r="F314" s="30" t="s">
        <v>2679</v>
      </c>
      <c r="G314" s="30" t="s">
        <v>245</v>
      </c>
      <c r="H314" s="30" t="s">
        <v>245</v>
      </c>
      <c r="I314" s="30" t="s">
        <v>2823</v>
      </c>
      <c r="K314" s="30" t="s">
        <v>2680</v>
      </c>
      <c r="L314" s="30" t="s">
        <v>2681</v>
      </c>
      <c r="M314" s="30" t="s">
        <v>245</v>
      </c>
      <c r="N314" s="30" t="s">
        <v>245</v>
      </c>
      <c r="O314" s="30" t="s">
        <v>245</v>
      </c>
      <c r="P314" s="30" t="s">
        <v>245</v>
      </c>
      <c r="Q314" s="30" t="s">
        <v>245</v>
      </c>
      <c r="R314" s="30" t="s">
        <v>245</v>
      </c>
      <c r="S314" s="30" t="s">
        <v>245</v>
      </c>
      <c r="T314" s="30" t="s">
        <v>245</v>
      </c>
      <c r="U314" s="30" t="s">
        <v>245</v>
      </c>
      <c r="V314" s="30" t="s">
        <v>245</v>
      </c>
      <c r="W314" s="30" t="s">
        <v>245</v>
      </c>
      <c r="X314" s="30" t="s">
        <v>245</v>
      </c>
      <c r="Y314" s="30" t="s">
        <v>245</v>
      </c>
      <c r="Z314" s="30" t="s">
        <v>245</v>
      </c>
      <c r="AA314" s="30" t="s">
        <v>245</v>
      </c>
      <c r="AB314" s="30" t="s">
        <v>245</v>
      </c>
      <c r="AC314" s="30" t="s">
        <v>2682</v>
      </c>
      <c r="AD314" s="30" t="s">
        <v>2683</v>
      </c>
      <c r="AE314" s="30" t="s">
        <v>245</v>
      </c>
      <c r="AF314" s="30" t="s">
        <v>245</v>
      </c>
      <c r="AG314" s="30" t="s">
        <v>245</v>
      </c>
      <c r="AH314" s="30" t="s">
        <v>245</v>
      </c>
      <c r="AI314" s="30" t="s">
        <v>245</v>
      </c>
      <c r="AJ314" s="30" t="s">
        <v>245</v>
      </c>
      <c r="AK314" s="30" t="s">
        <v>245</v>
      </c>
      <c r="AL314" s="30" t="s">
        <v>245</v>
      </c>
      <c r="AM314" s="30" t="s">
        <v>245</v>
      </c>
      <c r="AN314" s="30" t="s">
        <v>245</v>
      </c>
      <c r="AO314" s="30" t="s">
        <v>245</v>
      </c>
      <c r="AP314" s="30" t="s">
        <v>245</v>
      </c>
      <c r="AQ314" s="30" t="s">
        <v>2684</v>
      </c>
      <c r="AR314" s="30" t="s">
        <v>245</v>
      </c>
      <c r="AS314" s="30" t="s">
        <v>245</v>
      </c>
      <c r="AT314" s="30" t="s">
        <v>245</v>
      </c>
      <c r="AU314" s="30" t="s">
        <v>245</v>
      </c>
      <c r="AV314" s="30" t="s">
        <v>2685</v>
      </c>
      <c r="AW314" s="30">
        <v>2007</v>
      </c>
      <c r="AX314" s="30">
        <v>205</v>
      </c>
      <c r="AY314" s="30" t="s">
        <v>1566</v>
      </c>
      <c r="AZ314" s="30" t="s">
        <v>245</v>
      </c>
      <c r="BA314" s="30" t="s">
        <v>245</v>
      </c>
      <c r="BB314" s="30" t="s">
        <v>245</v>
      </c>
      <c r="BC314" s="30" t="s">
        <v>245</v>
      </c>
      <c r="BD314" s="30">
        <v>475</v>
      </c>
      <c r="BE314" s="30">
        <v>491</v>
      </c>
      <c r="BF314" s="30" t="s">
        <v>245</v>
      </c>
      <c r="BG314" s="30" t="s">
        <v>2686</v>
      </c>
      <c r="BH314" s="30" t="str">
        <f>HYPERLINK("http://dx.doi.org/10.1016/j.ecolmodel.2007.03.014","http://dx.doi.org/10.1016/j.ecolmodel.2007.03.014")</f>
        <v>http://dx.doi.org/10.1016/j.ecolmodel.2007.03.014</v>
      </c>
      <c r="BI314" s="30" t="s">
        <v>245</v>
      </c>
      <c r="BJ314" s="30" t="s">
        <v>245</v>
      </c>
      <c r="BK314" s="30" t="s">
        <v>245</v>
      </c>
      <c r="BL314" s="30" t="s">
        <v>245</v>
      </c>
      <c r="BM314" s="30" t="s">
        <v>245</v>
      </c>
      <c r="BN314" s="30" t="s">
        <v>245</v>
      </c>
      <c r="BO314" s="30" t="s">
        <v>245</v>
      </c>
      <c r="BP314" s="30" t="s">
        <v>245</v>
      </c>
      <c r="BQ314" s="30" t="s">
        <v>245</v>
      </c>
      <c r="BR314" s="30" t="s">
        <v>245</v>
      </c>
      <c r="BS314" s="30" t="s">
        <v>245</v>
      </c>
      <c r="BT314" s="30" t="s">
        <v>245</v>
      </c>
      <c r="BU314" s="30" t="s">
        <v>2687</v>
      </c>
      <c r="BV314" s="30" t="str">
        <f>HYPERLINK("https%3A%2F%2Fwww.webofscience.com%2Fwos%2Fwoscc%2Ffull-record%2FWOS:000247378200017","View Full Record in Web of Science")</f>
        <v>View Full Record in Web of Science</v>
      </c>
    </row>
    <row r="315" spans="1:74" x14ac:dyDescent="0.2">
      <c r="A315" s="30" t="s">
        <v>243</v>
      </c>
      <c r="B315" s="30" t="s">
        <v>2688</v>
      </c>
      <c r="C315" s="30" t="s">
        <v>245</v>
      </c>
      <c r="D315" s="30" t="s">
        <v>245</v>
      </c>
      <c r="E315" s="30" t="s">
        <v>245</v>
      </c>
      <c r="F315" s="30" t="s">
        <v>2689</v>
      </c>
      <c r="G315" s="30" t="s">
        <v>245</v>
      </c>
      <c r="H315" s="30" t="s">
        <v>245</v>
      </c>
      <c r="I315" s="30" t="s">
        <v>2823</v>
      </c>
      <c r="K315" s="30" t="s">
        <v>2690</v>
      </c>
      <c r="L315" s="30" t="s">
        <v>2691</v>
      </c>
      <c r="M315" s="30" t="s">
        <v>245</v>
      </c>
      <c r="N315" s="30" t="s">
        <v>245</v>
      </c>
      <c r="O315" s="30" t="s">
        <v>245</v>
      </c>
      <c r="P315" s="30" t="s">
        <v>245</v>
      </c>
      <c r="Q315" s="30" t="s">
        <v>245</v>
      </c>
      <c r="R315" s="30" t="s">
        <v>245</v>
      </c>
      <c r="S315" s="30" t="s">
        <v>245</v>
      </c>
      <c r="T315" s="30" t="s">
        <v>245</v>
      </c>
      <c r="U315" s="30" t="s">
        <v>245</v>
      </c>
      <c r="V315" s="30" t="s">
        <v>245</v>
      </c>
      <c r="W315" s="30" t="s">
        <v>245</v>
      </c>
      <c r="X315" s="30" t="s">
        <v>245</v>
      </c>
      <c r="Y315" s="30" t="s">
        <v>245</v>
      </c>
      <c r="Z315" s="30" t="s">
        <v>245</v>
      </c>
      <c r="AA315" s="30" t="s">
        <v>245</v>
      </c>
      <c r="AB315" s="30" t="s">
        <v>245</v>
      </c>
      <c r="AC315" s="30" t="s">
        <v>245</v>
      </c>
      <c r="AD315" s="30" t="s">
        <v>2692</v>
      </c>
      <c r="AE315" s="30" t="s">
        <v>245</v>
      </c>
      <c r="AF315" s="30" t="s">
        <v>245</v>
      </c>
      <c r="AG315" s="30" t="s">
        <v>245</v>
      </c>
      <c r="AH315" s="30" t="s">
        <v>245</v>
      </c>
      <c r="AI315" s="30" t="s">
        <v>245</v>
      </c>
      <c r="AJ315" s="30" t="s">
        <v>245</v>
      </c>
      <c r="AK315" s="30" t="s">
        <v>245</v>
      </c>
      <c r="AL315" s="30" t="s">
        <v>245</v>
      </c>
      <c r="AM315" s="30" t="s">
        <v>245</v>
      </c>
      <c r="AN315" s="30" t="s">
        <v>245</v>
      </c>
      <c r="AO315" s="30" t="s">
        <v>245</v>
      </c>
      <c r="AP315" s="30" t="s">
        <v>245</v>
      </c>
      <c r="AQ315" s="30" t="s">
        <v>245</v>
      </c>
      <c r="AR315" s="30" t="s">
        <v>2693</v>
      </c>
      <c r="AS315" s="30" t="s">
        <v>245</v>
      </c>
      <c r="AT315" s="30" t="s">
        <v>245</v>
      </c>
      <c r="AU315" s="30" t="s">
        <v>245</v>
      </c>
      <c r="AV315" s="30" t="s">
        <v>286</v>
      </c>
      <c r="AW315" s="30">
        <v>2025</v>
      </c>
      <c r="AX315" s="30">
        <v>7</v>
      </c>
      <c r="AY315" s="30">
        <v>1</v>
      </c>
      <c r="AZ315" s="30" t="s">
        <v>245</v>
      </c>
      <c r="BA315" s="30" t="s">
        <v>245</v>
      </c>
      <c r="BB315" s="30" t="s">
        <v>245</v>
      </c>
      <c r="BC315" s="30" t="s">
        <v>245</v>
      </c>
      <c r="BD315" s="30">
        <v>62</v>
      </c>
      <c r="BE315" s="30">
        <v>79</v>
      </c>
      <c r="BF315" s="30" t="s">
        <v>245</v>
      </c>
      <c r="BG315" s="30" t="s">
        <v>2694</v>
      </c>
      <c r="BH315" s="30" t="str">
        <f>HYPERLINK("http://dx.doi.org/10.1002/ppp3.10578","http://dx.doi.org/10.1002/ppp3.10578")</f>
        <v>http://dx.doi.org/10.1002/ppp3.10578</v>
      </c>
      <c r="BI315" s="30" t="s">
        <v>245</v>
      </c>
      <c r="BJ315" s="30" t="s">
        <v>2695</v>
      </c>
      <c r="BK315" s="30" t="s">
        <v>245</v>
      </c>
      <c r="BL315" s="30" t="s">
        <v>245</v>
      </c>
      <c r="BM315" s="30" t="s">
        <v>245</v>
      </c>
      <c r="BN315" s="30" t="s">
        <v>245</v>
      </c>
      <c r="BO315" s="30" t="s">
        <v>245</v>
      </c>
      <c r="BP315" s="30" t="s">
        <v>245</v>
      </c>
      <c r="BQ315" s="30" t="s">
        <v>245</v>
      </c>
      <c r="BR315" s="30" t="s">
        <v>245</v>
      </c>
      <c r="BS315" s="30" t="s">
        <v>245</v>
      </c>
      <c r="BT315" s="30" t="s">
        <v>245</v>
      </c>
      <c r="BU315" s="30" t="s">
        <v>2696</v>
      </c>
      <c r="BV315" s="30" t="str">
        <f>HYPERLINK("https%3A%2F%2Fwww.webofscience.com%2Fwos%2Fwoscc%2Ffull-record%2FWOS:001334204700001","View Full Record in Web of Science")</f>
        <v>View Full Record in Web of Science</v>
      </c>
    </row>
    <row r="316" spans="1:74" x14ac:dyDescent="0.2">
      <c r="A316" s="30" t="s">
        <v>243</v>
      </c>
      <c r="B316" s="30" t="s">
        <v>2697</v>
      </c>
      <c r="C316" s="30" t="s">
        <v>245</v>
      </c>
      <c r="D316" s="30" t="s">
        <v>245</v>
      </c>
      <c r="E316" s="30" t="s">
        <v>245</v>
      </c>
      <c r="F316" s="30" t="s">
        <v>2697</v>
      </c>
      <c r="G316" s="30" t="s">
        <v>245</v>
      </c>
      <c r="H316" s="30" t="s">
        <v>245</v>
      </c>
      <c r="I316" s="30" t="s">
        <v>2823</v>
      </c>
      <c r="K316" s="30" t="s">
        <v>2698</v>
      </c>
      <c r="L316" s="30" t="s">
        <v>2699</v>
      </c>
      <c r="M316" s="30" t="s">
        <v>245</v>
      </c>
      <c r="N316" s="30" t="s">
        <v>245</v>
      </c>
      <c r="O316" s="30" t="s">
        <v>245</v>
      </c>
      <c r="P316" s="30" t="s">
        <v>245</v>
      </c>
      <c r="Q316" s="30" t="s">
        <v>245</v>
      </c>
      <c r="R316" s="30" t="s">
        <v>245</v>
      </c>
      <c r="S316" s="30" t="s">
        <v>245</v>
      </c>
      <c r="T316" s="30" t="s">
        <v>245</v>
      </c>
      <c r="U316" s="30" t="s">
        <v>245</v>
      </c>
      <c r="V316" s="30" t="s">
        <v>245</v>
      </c>
      <c r="W316" s="30" t="s">
        <v>245</v>
      </c>
      <c r="X316" s="30" t="s">
        <v>245</v>
      </c>
      <c r="Y316" s="30" t="s">
        <v>245</v>
      </c>
      <c r="Z316" s="30" t="s">
        <v>245</v>
      </c>
      <c r="AA316" s="30" t="s">
        <v>245</v>
      </c>
      <c r="AB316" s="30" t="s">
        <v>245</v>
      </c>
      <c r="AC316" s="30" t="s">
        <v>342</v>
      </c>
      <c r="AD316" s="30" t="s">
        <v>245</v>
      </c>
      <c r="AE316" s="30" t="s">
        <v>245</v>
      </c>
      <c r="AF316" s="30" t="s">
        <v>245</v>
      </c>
      <c r="AG316" s="30" t="s">
        <v>245</v>
      </c>
      <c r="AH316" s="30" t="s">
        <v>245</v>
      </c>
      <c r="AI316" s="30" t="s">
        <v>245</v>
      </c>
      <c r="AJ316" s="30" t="s">
        <v>245</v>
      </c>
      <c r="AK316" s="30" t="s">
        <v>245</v>
      </c>
      <c r="AL316" s="30" t="s">
        <v>245</v>
      </c>
      <c r="AM316" s="30" t="s">
        <v>245</v>
      </c>
      <c r="AN316" s="30" t="s">
        <v>245</v>
      </c>
      <c r="AO316" s="30" t="s">
        <v>245</v>
      </c>
      <c r="AP316" s="30" t="s">
        <v>245</v>
      </c>
      <c r="AQ316" s="30" t="s">
        <v>2700</v>
      </c>
      <c r="AR316" s="30" t="s">
        <v>2701</v>
      </c>
      <c r="AS316" s="30" t="s">
        <v>245</v>
      </c>
      <c r="AT316" s="30" t="s">
        <v>245</v>
      </c>
      <c r="AU316" s="30" t="s">
        <v>245</v>
      </c>
      <c r="AV316" s="30" t="s">
        <v>2702</v>
      </c>
      <c r="AW316" s="30">
        <v>2000</v>
      </c>
      <c r="AX316" s="30">
        <v>105</v>
      </c>
      <c r="AY316" s="30" t="s">
        <v>2703</v>
      </c>
      <c r="AZ316" s="30" t="s">
        <v>245</v>
      </c>
      <c r="BA316" s="30" t="s">
        <v>245</v>
      </c>
      <c r="BB316" s="30" t="s">
        <v>245</v>
      </c>
      <c r="BC316" s="30" t="s">
        <v>245</v>
      </c>
      <c r="BD316" s="30">
        <v>17231</v>
      </c>
      <c r="BE316" s="30">
        <v>17242</v>
      </c>
      <c r="BF316" s="30" t="s">
        <v>245</v>
      </c>
      <c r="BG316" s="30" t="s">
        <v>2704</v>
      </c>
      <c r="BH316" s="30" t="str">
        <f>HYPERLINK("http://dx.doi.org/10.1029/2000JD900014","http://dx.doi.org/10.1029/2000JD900014")</f>
        <v>http://dx.doi.org/10.1029/2000JD900014</v>
      </c>
      <c r="BI316" s="30" t="s">
        <v>245</v>
      </c>
      <c r="BJ316" s="30" t="s">
        <v>245</v>
      </c>
      <c r="BK316" s="30" t="s">
        <v>245</v>
      </c>
      <c r="BL316" s="30" t="s">
        <v>245</v>
      </c>
      <c r="BM316" s="30" t="s">
        <v>245</v>
      </c>
      <c r="BN316" s="30" t="s">
        <v>245</v>
      </c>
      <c r="BO316" s="30" t="s">
        <v>245</v>
      </c>
      <c r="BP316" s="30" t="s">
        <v>245</v>
      </c>
      <c r="BQ316" s="30" t="s">
        <v>245</v>
      </c>
      <c r="BR316" s="30" t="s">
        <v>245</v>
      </c>
      <c r="BS316" s="30" t="s">
        <v>245</v>
      </c>
      <c r="BT316" s="30" t="s">
        <v>245</v>
      </c>
      <c r="BU316" s="30" t="s">
        <v>2705</v>
      </c>
      <c r="BV316" s="30" t="str">
        <f>HYPERLINK("https%3A%2F%2Fwww.webofscience.com%2Fwos%2Fwoscc%2Ffull-record%2FWOS:000088236400001","View Full Record in Web of Science")</f>
        <v>View Full Record in Web of Science</v>
      </c>
    </row>
    <row r="317" spans="1:74" x14ac:dyDescent="0.2">
      <c r="A317" s="30" t="s">
        <v>243</v>
      </c>
      <c r="B317" s="30" t="s">
        <v>2706</v>
      </c>
      <c r="C317" s="30" t="s">
        <v>245</v>
      </c>
      <c r="D317" s="30" t="s">
        <v>245</v>
      </c>
      <c r="E317" s="30" t="s">
        <v>245</v>
      </c>
      <c r="F317" s="30" t="s">
        <v>2707</v>
      </c>
      <c r="G317" s="30" t="s">
        <v>245</v>
      </c>
      <c r="H317" s="30" t="s">
        <v>245</v>
      </c>
      <c r="I317" s="30" t="s">
        <v>2823</v>
      </c>
      <c r="K317" s="30" t="s">
        <v>2708</v>
      </c>
      <c r="L317" s="30" t="s">
        <v>450</v>
      </c>
      <c r="M317" s="30" t="s">
        <v>245</v>
      </c>
      <c r="N317" s="30" t="s">
        <v>245</v>
      </c>
      <c r="O317" s="30" t="s">
        <v>245</v>
      </c>
      <c r="P317" s="30" t="s">
        <v>245</v>
      </c>
      <c r="Q317" s="30" t="s">
        <v>245</v>
      </c>
      <c r="R317" s="30" t="s">
        <v>245</v>
      </c>
      <c r="S317" s="30" t="s">
        <v>245</v>
      </c>
      <c r="T317" s="30" t="s">
        <v>245</v>
      </c>
      <c r="U317" s="30" t="s">
        <v>245</v>
      </c>
      <c r="V317" s="30" t="s">
        <v>245</v>
      </c>
      <c r="W317" s="30" t="s">
        <v>245</v>
      </c>
      <c r="X317" s="30" t="s">
        <v>245</v>
      </c>
      <c r="Y317" s="30" t="s">
        <v>245</v>
      </c>
      <c r="Z317" s="30" t="s">
        <v>245</v>
      </c>
      <c r="AA317" s="30" t="s">
        <v>245</v>
      </c>
      <c r="AB317" s="30" t="s">
        <v>245</v>
      </c>
      <c r="AC317" s="30" t="s">
        <v>2709</v>
      </c>
      <c r="AD317" s="30" t="s">
        <v>2710</v>
      </c>
      <c r="AE317" s="30" t="s">
        <v>245</v>
      </c>
      <c r="AF317" s="30" t="s">
        <v>245</v>
      </c>
      <c r="AG317" s="30" t="s">
        <v>245</v>
      </c>
      <c r="AH317" s="30" t="s">
        <v>245</v>
      </c>
      <c r="AI317" s="30" t="s">
        <v>245</v>
      </c>
      <c r="AJ317" s="30" t="s">
        <v>245</v>
      </c>
      <c r="AK317" s="30" t="s">
        <v>245</v>
      </c>
      <c r="AL317" s="30" t="s">
        <v>245</v>
      </c>
      <c r="AM317" s="30" t="s">
        <v>245</v>
      </c>
      <c r="AN317" s="30" t="s">
        <v>245</v>
      </c>
      <c r="AO317" s="30" t="s">
        <v>245</v>
      </c>
      <c r="AP317" s="30" t="s">
        <v>245</v>
      </c>
      <c r="AQ317" s="30" t="s">
        <v>452</v>
      </c>
      <c r="AR317" s="30" t="s">
        <v>453</v>
      </c>
      <c r="AS317" s="30" t="s">
        <v>245</v>
      </c>
      <c r="AT317" s="30" t="s">
        <v>245</v>
      </c>
      <c r="AU317" s="30" t="s">
        <v>245</v>
      </c>
      <c r="AV317" s="30" t="s">
        <v>481</v>
      </c>
      <c r="AW317" s="30">
        <v>2023</v>
      </c>
      <c r="AX317" s="30">
        <v>197</v>
      </c>
      <c r="AY317" s="30" t="s">
        <v>245</v>
      </c>
      <c r="AZ317" s="30" t="s">
        <v>245</v>
      </c>
      <c r="BA317" s="30" t="s">
        <v>245</v>
      </c>
      <c r="BB317" s="30" t="s">
        <v>245</v>
      </c>
      <c r="BC317" s="30" t="s">
        <v>245</v>
      </c>
      <c r="BD317" s="30" t="s">
        <v>245</v>
      </c>
      <c r="BE317" s="30" t="s">
        <v>245</v>
      </c>
      <c r="BF317" s="30">
        <v>107125</v>
      </c>
      <c r="BG317" s="30" t="s">
        <v>2711</v>
      </c>
      <c r="BH317" s="30" t="str">
        <f>HYPERLINK("http://dx.doi.org/10.1016/j.ecoleng.2023.107125","http://dx.doi.org/10.1016/j.ecoleng.2023.107125")</f>
        <v>http://dx.doi.org/10.1016/j.ecoleng.2023.107125</v>
      </c>
      <c r="BI317" s="30" t="s">
        <v>245</v>
      </c>
      <c r="BJ317" s="30" t="s">
        <v>607</v>
      </c>
      <c r="BK317" s="30" t="s">
        <v>245</v>
      </c>
      <c r="BL317" s="30" t="s">
        <v>245</v>
      </c>
      <c r="BM317" s="30" t="s">
        <v>245</v>
      </c>
      <c r="BN317" s="30" t="s">
        <v>245</v>
      </c>
      <c r="BO317" s="30" t="s">
        <v>245</v>
      </c>
      <c r="BP317" s="30" t="s">
        <v>245</v>
      </c>
      <c r="BQ317" s="30" t="s">
        <v>245</v>
      </c>
      <c r="BR317" s="30" t="s">
        <v>245</v>
      </c>
      <c r="BS317" s="30" t="s">
        <v>245</v>
      </c>
      <c r="BT317" s="30" t="s">
        <v>245</v>
      </c>
      <c r="BU317" s="30" t="s">
        <v>2712</v>
      </c>
      <c r="BV317" s="30" t="str">
        <f>HYPERLINK("https%3A%2F%2Fwww.webofscience.com%2Fwos%2Fwoscc%2Ffull-record%2FWOS:001096609400001","View Full Record in Web of Science")</f>
        <v>View Full Record in Web of Science</v>
      </c>
    </row>
    <row r="318" spans="1:74" x14ac:dyDescent="0.2">
      <c r="A318" s="30" t="s">
        <v>243</v>
      </c>
      <c r="B318" s="30" t="s">
        <v>2713</v>
      </c>
      <c r="C318" s="30" t="s">
        <v>245</v>
      </c>
      <c r="D318" s="30" t="s">
        <v>245</v>
      </c>
      <c r="E318" s="30" t="s">
        <v>245</v>
      </c>
      <c r="F318" s="30" t="s">
        <v>2714</v>
      </c>
      <c r="G318" s="30" t="s">
        <v>245</v>
      </c>
      <c r="H318" s="30" t="s">
        <v>245</v>
      </c>
      <c r="I318" s="30" t="s">
        <v>2823</v>
      </c>
      <c r="K318" s="30" t="s">
        <v>2715</v>
      </c>
      <c r="L318" s="30" t="s">
        <v>765</v>
      </c>
      <c r="M318" s="30" t="s">
        <v>245</v>
      </c>
      <c r="N318" s="30" t="s">
        <v>245</v>
      </c>
      <c r="O318" s="30" t="s">
        <v>245</v>
      </c>
      <c r="P318" s="30" t="s">
        <v>245</v>
      </c>
      <c r="Q318" s="30" t="s">
        <v>245</v>
      </c>
      <c r="R318" s="30" t="s">
        <v>245</v>
      </c>
      <c r="S318" s="30" t="s">
        <v>245</v>
      </c>
      <c r="T318" s="30" t="s">
        <v>245</v>
      </c>
      <c r="U318" s="30" t="s">
        <v>245</v>
      </c>
      <c r="V318" s="30" t="s">
        <v>245</v>
      </c>
      <c r="W318" s="30" t="s">
        <v>245</v>
      </c>
      <c r="X318" s="30" t="s">
        <v>245</v>
      </c>
      <c r="Y318" s="30" t="s">
        <v>245</v>
      </c>
      <c r="Z318" s="30" t="s">
        <v>245</v>
      </c>
      <c r="AA318" s="30" t="s">
        <v>245</v>
      </c>
      <c r="AB318" s="30" t="s">
        <v>245</v>
      </c>
      <c r="AC318" s="30" t="s">
        <v>2716</v>
      </c>
      <c r="AD318" s="30" t="s">
        <v>2717</v>
      </c>
      <c r="AE318" s="30" t="s">
        <v>245</v>
      </c>
      <c r="AF318" s="30" t="s">
        <v>245</v>
      </c>
      <c r="AG318" s="30" t="s">
        <v>245</v>
      </c>
      <c r="AH318" s="30" t="s">
        <v>245</v>
      </c>
      <c r="AI318" s="30" t="s">
        <v>245</v>
      </c>
      <c r="AJ318" s="30" t="s">
        <v>245</v>
      </c>
      <c r="AK318" s="30" t="s">
        <v>245</v>
      </c>
      <c r="AL318" s="30" t="s">
        <v>245</v>
      </c>
      <c r="AM318" s="30" t="s">
        <v>245</v>
      </c>
      <c r="AN318" s="30" t="s">
        <v>245</v>
      </c>
      <c r="AO318" s="30" t="s">
        <v>245</v>
      </c>
      <c r="AP318" s="30" t="s">
        <v>245</v>
      </c>
      <c r="AQ318" s="30" t="s">
        <v>768</v>
      </c>
      <c r="AR318" s="30" t="s">
        <v>769</v>
      </c>
      <c r="AS318" s="30" t="s">
        <v>245</v>
      </c>
      <c r="AT318" s="30" t="s">
        <v>245</v>
      </c>
      <c r="AU318" s="30" t="s">
        <v>245</v>
      </c>
      <c r="AV318" s="30" t="s">
        <v>365</v>
      </c>
      <c r="AW318" s="30">
        <v>2013</v>
      </c>
      <c r="AX318" s="30">
        <v>66</v>
      </c>
      <c r="AY318" s="30" t="s">
        <v>245</v>
      </c>
      <c r="AZ318" s="30" t="s">
        <v>245</v>
      </c>
      <c r="BA318" s="30" t="s">
        <v>245</v>
      </c>
      <c r="BB318" s="30" t="s">
        <v>298</v>
      </c>
      <c r="BC318" s="30" t="s">
        <v>245</v>
      </c>
      <c r="BD318" s="30">
        <v>114</v>
      </c>
      <c r="BE318" s="30">
        <v>122</v>
      </c>
      <c r="BF318" s="30" t="s">
        <v>245</v>
      </c>
      <c r="BG318" s="30" t="s">
        <v>2718</v>
      </c>
      <c r="BH318" s="30" t="str">
        <f>HYPERLINK("http://dx.doi.org/10.1016/j.atmosenv.2012.06.008","http://dx.doi.org/10.1016/j.atmosenv.2012.06.008")</f>
        <v>http://dx.doi.org/10.1016/j.atmosenv.2012.06.008</v>
      </c>
      <c r="BI318" s="30" t="s">
        <v>245</v>
      </c>
      <c r="BJ318" s="30" t="s">
        <v>245</v>
      </c>
      <c r="BK318" s="30" t="s">
        <v>245</v>
      </c>
      <c r="BL318" s="30" t="s">
        <v>245</v>
      </c>
      <c r="BM318" s="30" t="s">
        <v>245</v>
      </c>
      <c r="BN318" s="30" t="s">
        <v>245</v>
      </c>
      <c r="BO318" s="30" t="s">
        <v>245</v>
      </c>
      <c r="BP318" s="30" t="s">
        <v>245</v>
      </c>
      <c r="BQ318" s="30" t="s">
        <v>245</v>
      </c>
      <c r="BR318" s="30" t="s">
        <v>245</v>
      </c>
      <c r="BS318" s="30" t="s">
        <v>245</v>
      </c>
      <c r="BT318" s="30" t="s">
        <v>245</v>
      </c>
      <c r="BU318" s="30" t="s">
        <v>2719</v>
      </c>
      <c r="BV318" s="30" t="str">
        <f>HYPERLINK("https%3A%2F%2Fwww.webofscience.com%2Fwos%2Fwoscc%2Ffull-record%2FWOS:000314016200014","View Full Record in Web of Science")</f>
        <v>View Full Record in Web of Science</v>
      </c>
    </row>
    <row r="319" spans="1:74" x14ac:dyDescent="0.2">
      <c r="A319" s="30" t="s">
        <v>243</v>
      </c>
      <c r="B319" s="30" t="s">
        <v>2720</v>
      </c>
      <c r="C319" s="30" t="s">
        <v>245</v>
      </c>
      <c r="D319" s="30" t="s">
        <v>245</v>
      </c>
      <c r="E319" s="30" t="s">
        <v>245</v>
      </c>
      <c r="F319" s="30" t="s">
        <v>2721</v>
      </c>
      <c r="G319" s="30" t="s">
        <v>245</v>
      </c>
      <c r="H319" s="30" t="s">
        <v>245</v>
      </c>
      <c r="J319" s="30" t="s">
        <v>2841</v>
      </c>
      <c r="K319" s="30" t="s">
        <v>2722</v>
      </c>
      <c r="L319" s="30" t="s">
        <v>1591</v>
      </c>
      <c r="M319" s="30" t="s">
        <v>245</v>
      </c>
      <c r="N319" s="30" t="s">
        <v>245</v>
      </c>
      <c r="O319" s="30" t="s">
        <v>245</v>
      </c>
      <c r="P319" s="30" t="s">
        <v>245</v>
      </c>
      <c r="Q319" s="30" t="s">
        <v>245</v>
      </c>
      <c r="R319" s="30" t="s">
        <v>245</v>
      </c>
      <c r="S319" s="30" t="s">
        <v>245</v>
      </c>
      <c r="T319" s="30" t="s">
        <v>245</v>
      </c>
      <c r="U319" s="30" t="s">
        <v>245</v>
      </c>
      <c r="V319" s="30" t="s">
        <v>245</v>
      </c>
      <c r="W319" s="30" t="s">
        <v>245</v>
      </c>
      <c r="X319" s="30" t="s">
        <v>245</v>
      </c>
      <c r="Y319" s="30" t="s">
        <v>245</v>
      </c>
      <c r="Z319" s="30" t="s">
        <v>245</v>
      </c>
      <c r="AA319" s="30" t="s">
        <v>245</v>
      </c>
      <c r="AB319" s="30" t="s">
        <v>245</v>
      </c>
      <c r="AC319" s="30" t="s">
        <v>2723</v>
      </c>
      <c r="AD319" s="30" t="s">
        <v>2724</v>
      </c>
      <c r="AE319" s="30" t="s">
        <v>245</v>
      </c>
      <c r="AF319" s="30" t="s">
        <v>245</v>
      </c>
      <c r="AG319" s="30" t="s">
        <v>245</v>
      </c>
      <c r="AH319" s="30" t="s">
        <v>245</v>
      </c>
      <c r="AI319" s="30" t="s">
        <v>245</v>
      </c>
      <c r="AJ319" s="30" t="s">
        <v>245</v>
      </c>
      <c r="AK319" s="30" t="s">
        <v>245</v>
      </c>
      <c r="AL319" s="30" t="s">
        <v>245</v>
      </c>
      <c r="AM319" s="30" t="s">
        <v>245</v>
      </c>
      <c r="AN319" s="30" t="s">
        <v>245</v>
      </c>
      <c r="AO319" s="30" t="s">
        <v>245</v>
      </c>
      <c r="AP319" s="30" t="s">
        <v>245</v>
      </c>
      <c r="AQ319" s="30" t="s">
        <v>1593</v>
      </c>
      <c r="AR319" s="30" t="s">
        <v>1594</v>
      </c>
      <c r="AS319" s="30" t="s">
        <v>245</v>
      </c>
      <c r="AT319" s="30" t="s">
        <v>245</v>
      </c>
      <c r="AU319" s="30" t="s">
        <v>245</v>
      </c>
      <c r="AV319" s="30" t="s">
        <v>1988</v>
      </c>
      <c r="AW319" s="30">
        <v>2024</v>
      </c>
      <c r="AX319" s="30">
        <v>301</v>
      </c>
      <c r="AY319" s="30" t="s">
        <v>245</v>
      </c>
      <c r="AZ319" s="30" t="s">
        <v>245</v>
      </c>
      <c r="BA319" s="30" t="s">
        <v>245</v>
      </c>
      <c r="BB319" s="30" t="s">
        <v>245</v>
      </c>
      <c r="BC319" s="30" t="s">
        <v>245</v>
      </c>
      <c r="BD319" s="30" t="s">
        <v>245</v>
      </c>
      <c r="BE319" s="30" t="s">
        <v>245</v>
      </c>
      <c r="BF319" s="30">
        <v>108951</v>
      </c>
      <c r="BG319" s="30" t="s">
        <v>2725</v>
      </c>
      <c r="BH319" s="30" t="str">
        <f>HYPERLINK("http://dx.doi.org/10.1016/j.agwat.2024.108951","http://dx.doi.org/10.1016/j.agwat.2024.108951")</f>
        <v>http://dx.doi.org/10.1016/j.agwat.2024.108951</v>
      </c>
      <c r="BI319" s="30" t="s">
        <v>245</v>
      </c>
      <c r="BJ319" s="30" t="s">
        <v>718</v>
      </c>
      <c r="BK319" s="30" t="s">
        <v>245</v>
      </c>
      <c r="BL319" s="30" t="s">
        <v>245</v>
      </c>
      <c r="BM319" s="30" t="s">
        <v>245</v>
      </c>
      <c r="BN319" s="30" t="s">
        <v>245</v>
      </c>
      <c r="BO319" s="30" t="s">
        <v>245</v>
      </c>
      <c r="BP319" s="30" t="s">
        <v>245</v>
      </c>
      <c r="BQ319" s="30" t="s">
        <v>245</v>
      </c>
      <c r="BR319" s="30" t="s">
        <v>245</v>
      </c>
      <c r="BS319" s="30" t="s">
        <v>245</v>
      </c>
      <c r="BT319" s="30" t="s">
        <v>245</v>
      </c>
      <c r="BU319" s="30" t="s">
        <v>2726</v>
      </c>
      <c r="BV319" s="30" t="str">
        <f>HYPERLINK("https%3A%2F%2Fwww.webofscience.com%2Fwos%2Fwoscc%2Ffull-record%2FWOS:001273793400001","View Full Record in Web of Science")</f>
        <v>View Full Record in Web of Science</v>
      </c>
    </row>
    <row r="320" spans="1:74" x14ac:dyDescent="0.2">
      <c r="A320" s="30" t="s">
        <v>243</v>
      </c>
      <c r="B320" s="30" t="s">
        <v>2727</v>
      </c>
      <c r="C320" s="30" t="s">
        <v>245</v>
      </c>
      <c r="D320" s="30" t="s">
        <v>245</v>
      </c>
      <c r="E320" s="30" t="s">
        <v>245</v>
      </c>
      <c r="F320" s="30" t="s">
        <v>2728</v>
      </c>
      <c r="G320" s="30" t="s">
        <v>245</v>
      </c>
      <c r="H320" s="30" t="s">
        <v>245</v>
      </c>
      <c r="I320" s="30" t="s">
        <v>2823</v>
      </c>
      <c r="K320" s="30" t="s">
        <v>2729</v>
      </c>
      <c r="L320" s="30" t="s">
        <v>641</v>
      </c>
      <c r="M320" s="30" t="s">
        <v>245</v>
      </c>
      <c r="N320" s="30" t="s">
        <v>245</v>
      </c>
      <c r="O320" s="30" t="s">
        <v>245</v>
      </c>
      <c r="P320" s="30" t="s">
        <v>245</v>
      </c>
      <c r="Q320" s="30" t="s">
        <v>245</v>
      </c>
      <c r="R320" s="30" t="s">
        <v>245</v>
      </c>
      <c r="S320" s="30" t="s">
        <v>245</v>
      </c>
      <c r="T320" s="30" t="s">
        <v>245</v>
      </c>
      <c r="U320" s="30" t="s">
        <v>245</v>
      </c>
      <c r="V320" s="30" t="s">
        <v>245</v>
      </c>
      <c r="W320" s="30" t="s">
        <v>245</v>
      </c>
      <c r="X320" s="30" t="s">
        <v>245</v>
      </c>
      <c r="Y320" s="30" t="s">
        <v>245</v>
      </c>
      <c r="Z320" s="30" t="s">
        <v>245</v>
      </c>
      <c r="AA320" s="30" t="s">
        <v>245</v>
      </c>
      <c r="AB320" s="30" t="s">
        <v>245</v>
      </c>
      <c r="AC320" s="30" t="s">
        <v>2730</v>
      </c>
      <c r="AD320" s="30" t="s">
        <v>2731</v>
      </c>
      <c r="AE320" s="30" t="s">
        <v>245</v>
      </c>
      <c r="AF320" s="30" t="s">
        <v>245</v>
      </c>
      <c r="AG320" s="30" t="s">
        <v>245</v>
      </c>
      <c r="AH320" s="30" t="s">
        <v>245</v>
      </c>
      <c r="AI320" s="30" t="s">
        <v>245</v>
      </c>
      <c r="AJ320" s="30" t="s">
        <v>245</v>
      </c>
      <c r="AK320" s="30" t="s">
        <v>245</v>
      </c>
      <c r="AL320" s="30" t="s">
        <v>245</v>
      </c>
      <c r="AM320" s="30" t="s">
        <v>245</v>
      </c>
      <c r="AN320" s="30" t="s">
        <v>245</v>
      </c>
      <c r="AO320" s="30" t="s">
        <v>245</v>
      </c>
      <c r="AP320" s="30" t="s">
        <v>245</v>
      </c>
      <c r="AQ320" s="30" t="s">
        <v>644</v>
      </c>
      <c r="AR320" s="30" t="s">
        <v>645</v>
      </c>
      <c r="AS320" s="30" t="s">
        <v>245</v>
      </c>
      <c r="AT320" s="30" t="s">
        <v>245</v>
      </c>
      <c r="AU320" s="30" t="s">
        <v>245</v>
      </c>
      <c r="AV320" s="30" t="s">
        <v>841</v>
      </c>
      <c r="AW320" s="30">
        <v>2018</v>
      </c>
      <c r="AX320" s="30">
        <v>47</v>
      </c>
      <c r="AY320" s="30">
        <v>3</v>
      </c>
      <c r="AZ320" s="30" t="s">
        <v>245</v>
      </c>
      <c r="BA320" s="30" t="s">
        <v>245</v>
      </c>
      <c r="BB320" s="30" t="s">
        <v>245</v>
      </c>
      <c r="BC320" s="30" t="s">
        <v>245</v>
      </c>
      <c r="BD320" s="30">
        <v>395</v>
      </c>
      <c r="BE320" s="30">
        <v>409</v>
      </c>
      <c r="BF320" s="30" t="s">
        <v>245</v>
      </c>
      <c r="BG320" s="30" t="s">
        <v>2732</v>
      </c>
      <c r="BH320" s="30" t="str">
        <f>HYPERLINK("http://dx.doi.org/10.2134/jeq2017.11.0445","http://dx.doi.org/10.2134/jeq2017.11.0445")</f>
        <v>http://dx.doi.org/10.2134/jeq2017.11.0445</v>
      </c>
      <c r="BI320" s="30" t="s">
        <v>245</v>
      </c>
      <c r="BJ320" s="30" t="s">
        <v>245</v>
      </c>
      <c r="BK320" s="30" t="s">
        <v>245</v>
      </c>
      <c r="BL320" s="30" t="s">
        <v>245</v>
      </c>
      <c r="BM320" s="30" t="s">
        <v>245</v>
      </c>
      <c r="BN320" s="30" t="s">
        <v>245</v>
      </c>
      <c r="BO320" s="30" t="s">
        <v>245</v>
      </c>
      <c r="BP320" s="30">
        <v>29864188</v>
      </c>
      <c r="BQ320" s="30" t="s">
        <v>245</v>
      </c>
      <c r="BR320" s="30" t="s">
        <v>245</v>
      </c>
      <c r="BS320" s="30" t="s">
        <v>245</v>
      </c>
      <c r="BT320" s="30" t="s">
        <v>245</v>
      </c>
      <c r="BU320" s="30" t="s">
        <v>2733</v>
      </c>
      <c r="BV320" s="30" t="str">
        <f>HYPERLINK("https%3A%2F%2Fwww.webofscience.com%2Fwos%2Fwoscc%2Ffull-record%2FWOS:000445080100001","View Full Record in Web of Science")</f>
        <v>View Full Record in Web of Science</v>
      </c>
    </row>
    <row r="321" spans="1:74" x14ac:dyDescent="0.2">
      <c r="A321" s="30" t="s">
        <v>243</v>
      </c>
      <c r="B321" s="30" t="s">
        <v>2734</v>
      </c>
      <c r="C321" s="30" t="s">
        <v>245</v>
      </c>
      <c r="D321" s="30" t="s">
        <v>245</v>
      </c>
      <c r="E321" s="30" t="s">
        <v>245</v>
      </c>
      <c r="F321" s="30" t="s">
        <v>2735</v>
      </c>
      <c r="G321" s="30" t="s">
        <v>245</v>
      </c>
      <c r="H321" s="30" t="s">
        <v>245</v>
      </c>
      <c r="I321" s="30" t="s">
        <v>2823</v>
      </c>
      <c r="K321" s="30" t="s">
        <v>2736</v>
      </c>
      <c r="L321" s="30" t="s">
        <v>1804</v>
      </c>
      <c r="M321" s="30" t="s">
        <v>245</v>
      </c>
      <c r="N321" s="30" t="s">
        <v>245</v>
      </c>
      <c r="O321" s="30" t="s">
        <v>245</v>
      </c>
      <c r="P321" s="30" t="s">
        <v>245</v>
      </c>
      <c r="Q321" s="30" t="s">
        <v>245</v>
      </c>
      <c r="R321" s="30" t="s">
        <v>245</v>
      </c>
      <c r="S321" s="30" t="s">
        <v>245</v>
      </c>
      <c r="T321" s="30" t="s">
        <v>245</v>
      </c>
      <c r="U321" s="30" t="s">
        <v>245</v>
      </c>
      <c r="V321" s="30" t="s">
        <v>245</v>
      </c>
      <c r="W321" s="30" t="s">
        <v>245</v>
      </c>
      <c r="X321" s="30" t="s">
        <v>245</v>
      </c>
      <c r="Y321" s="30" t="s">
        <v>245</v>
      </c>
      <c r="Z321" s="30" t="s">
        <v>245</v>
      </c>
      <c r="AA321" s="30" t="s">
        <v>245</v>
      </c>
      <c r="AB321" s="30" t="s">
        <v>245</v>
      </c>
      <c r="AC321" s="30" t="s">
        <v>245</v>
      </c>
      <c r="AD321" s="30" t="s">
        <v>2737</v>
      </c>
      <c r="AE321" s="30" t="s">
        <v>245</v>
      </c>
      <c r="AF321" s="30" t="s">
        <v>245</v>
      </c>
      <c r="AG321" s="30" t="s">
        <v>245</v>
      </c>
      <c r="AH321" s="30" t="s">
        <v>245</v>
      </c>
      <c r="AI321" s="30" t="s">
        <v>245</v>
      </c>
      <c r="AJ321" s="30" t="s">
        <v>245</v>
      </c>
      <c r="AK321" s="30" t="s">
        <v>245</v>
      </c>
      <c r="AL321" s="30" t="s">
        <v>245</v>
      </c>
      <c r="AM321" s="30" t="s">
        <v>245</v>
      </c>
      <c r="AN321" s="30" t="s">
        <v>245</v>
      </c>
      <c r="AO321" s="30" t="s">
        <v>245</v>
      </c>
      <c r="AP321" s="30" t="s">
        <v>245</v>
      </c>
      <c r="AQ321" s="30" t="s">
        <v>1807</v>
      </c>
      <c r="AR321" s="30" t="s">
        <v>245</v>
      </c>
      <c r="AS321" s="30" t="s">
        <v>245</v>
      </c>
      <c r="AT321" s="30" t="s">
        <v>245</v>
      </c>
      <c r="AU321" s="30" t="s">
        <v>245</v>
      </c>
      <c r="AV321" s="30" t="s">
        <v>1786</v>
      </c>
      <c r="AW321" s="30">
        <v>2020</v>
      </c>
      <c r="AX321" s="30">
        <v>5</v>
      </c>
      <c r="AY321" s="30">
        <v>1</v>
      </c>
      <c r="AZ321" s="30" t="s">
        <v>245</v>
      </c>
      <c r="BA321" s="30" t="s">
        <v>245</v>
      </c>
      <c r="BB321" s="30" t="s">
        <v>245</v>
      </c>
      <c r="BC321" s="30" t="s">
        <v>245</v>
      </c>
      <c r="BD321" s="30" t="s">
        <v>245</v>
      </c>
      <c r="BE321" s="30" t="s">
        <v>245</v>
      </c>
      <c r="BF321" s="30" t="s">
        <v>2738</v>
      </c>
      <c r="BG321" s="30" t="s">
        <v>2739</v>
      </c>
      <c r="BH321" s="30" t="str">
        <f>HYPERLINK("http://dx.doi.org/10.1128/mSystems.00897-19","http://dx.doi.org/10.1128/mSystems.00897-19")</f>
        <v>http://dx.doi.org/10.1128/mSystems.00897-19</v>
      </c>
      <c r="BI321" s="30" t="s">
        <v>245</v>
      </c>
      <c r="BJ321" s="30" t="s">
        <v>245</v>
      </c>
      <c r="BK321" s="30" t="s">
        <v>245</v>
      </c>
      <c r="BL321" s="30" t="s">
        <v>245</v>
      </c>
      <c r="BM321" s="30" t="s">
        <v>245</v>
      </c>
      <c r="BN321" s="30" t="s">
        <v>245</v>
      </c>
      <c r="BO321" s="30" t="s">
        <v>245</v>
      </c>
      <c r="BP321" s="30">
        <v>32071162</v>
      </c>
      <c r="BQ321" s="30" t="s">
        <v>245</v>
      </c>
      <c r="BR321" s="30" t="s">
        <v>245</v>
      </c>
      <c r="BS321" s="30" t="s">
        <v>245</v>
      </c>
      <c r="BT321" s="30" t="s">
        <v>245</v>
      </c>
      <c r="BU321" s="30" t="s">
        <v>2740</v>
      </c>
      <c r="BV321" s="30" t="str">
        <f>HYPERLINK("https%3A%2F%2Fwww.webofscience.com%2Fwos%2Fwoscc%2Ffull-record%2FWOS:000518855000025","View Full Record in Web of Science")</f>
        <v>View Full Record in Web of Science</v>
      </c>
    </row>
    <row r="322" spans="1:74" x14ac:dyDescent="0.2">
      <c r="A322" s="30" t="s">
        <v>243</v>
      </c>
      <c r="B322" s="30" t="s">
        <v>2741</v>
      </c>
      <c r="C322" s="30" t="s">
        <v>245</v>
      </c>
      <c r="D322" s="30" t="s">
        <v>245</v>
      </c>
      <c r="E322" s="30" t="s">
        <v>245</v>
      </c>
      <c r="F322" s="30" t="s">
        <v>2742</v>
      </c>
      <c r="G322" s="30" t="s">
        <v>245</v>
      </c>
      <c r="H322" s="30" t="s">
        <v>245</v>
      </c>
      <c r="I322" s="30" t="s">
        <v>2823</v>
      </c>
      <c r="K322" s="30" t="s">
        <v>2743</v>
      </c>
      <c r="L322" s="30" t="s">
        <v>1054</v>
      </c>
      <c r="M322" s="30" t="s">
        <v>245</v>
      </c>
      <c r="N322" s="30" t="s">
        <v>245</v>
      </c>
      <c r="O322" s="30" t="s">
        <v>245</v>
      </c>
      <c r="P322" s="30" t="s">
        <v>245</v>
      </c>
      <c r="Q322" s="30" t="s">
        <v>245</v>
      </c>
      <c r="R322" s="30" t="s">
        <v>245</v>
      </c>
      <c r="S322" s="30" t="s">
        <v>245</v>
      </c>
      <c r="T322" s="30" t="s">
        <v>245</v>
      </c>
      <c r="U322" s="30" t="s">
        <v>245</v>
      </c>
      <c r="V322" s="30" t="s">
        <v>245</v>
      </c>
      <c r="W322" s="30" t="s">
        <v>245</v>
      </c>
      <c r="X322" s="30" t="s">
        <v>245</v>
      </c>
      <c r="Y322" s="30" t="s">
        <v>245</v>
      </c>
      <c r="Z322" s="30" t="s">
        <v>245</v>
      </c>
      <c r="AA322" s="30" t="s">
        <v>245</v>
      </c>
      <c r="AB322" s="30" t="s">
        <v>245</v>
      </c>
      <c r="AC322" s="30" t="s">
        <v>2744</v>
      </c>
      <c r="AD322" s="30" t="s">
        <v>245</v>
      </c>
      <c r="AE322" s="30" t="s">
        <v>245</v>
      </c>
      <c r="AF322" s="30" t="s">
        <v>245</v>
      </c>
      <c r="AG322" s="30" t="s">
        <v>245</v>
      </c>
      <c r="AH322" s="30" t="s">
        <v>245</v>
      </c>
      <c r="AI322" s="30" t="s">
        <v>245</v>
      </c>
      <c r="AJ322" s="30" t="s">
        <v>245</v>
      </c>
      <c r="AK322" s="30" t="s">
        <v>245</v>
      </c>
      <c r="AL322" s="30" t="s">
        <v>245</v>
      </c>
      <c r="AM322" s="30" t="s">
        <v>245</v>
      </c>
      <c r="AN322" s="30" t="s">
        <v>245</v>
      </c>
      <c r="AO322" s="30" t="s">
        <v>245</v>
      </c>
      <c r="AP322" s="30" t="s">
        <v>245</v>
      </c>
      <c r="AQ322" s="30" t="s">
        <v>1055</v>
      </c>
      <c r="AR322" s="30" t="s">
        <v>1056</v>
      </c>
      <c r="AS322" s="30" t="s">
        <v>245</v>
      </c>
      <c r="AT322" s="30" t="s">
        <v>245</v>
      </c>
      <c r="AU322" s="30" t="s">
        <v>245</v>
      </c>
      <c r="AV322" s="30" t="s">
        <v>535</v>
      </c>
      <c r="AW322" s="30">
        <v>2018</v>
      </c>
      <c r="AX322" s="30">
        <v>38</v>
      </c>
      <c r="AY322" s="30">
        <v>4</v>
      </c>
      <c r="AZ322" s="30" t="s">
        <v>245</v>
      </c>
      <c r="BA322" s="30" t="s">
        <v>245</v>
      </c>
      <c r="BB322" s="30" t="s">
        <v>245</v>
      </c>
      <c r="BC322" s="30" t="s">
        <v>245</v>
      </c>
      <c r="BD322" s="30">
        <v>835</v>
      </c>
      <c r="BE322" s="30">
        <v>854</v>
      </c>
      <c r="BF322" s="30" t="s">
        <v>245</v>
      </c>
      <c r="BG322" s="30" t="s">
        <v>2745</v>
      </c>
      <c r="BH322" s="30" t="str">
        <f>HYPERLINK("http://dx.doi.org/10.1007/s13157-018-1035-4","http://dx.doi.org/10.1007/s13157-018-1035-4")</f>
        <v>http://dx.doi.org/10.1007/s13157-018-1035-4</v>
      </c>
      <c r="BI322" s="30" t="s">
        <v>245</v>
      </c>
      <c r="BJ322" s="30" t="s">
        <v>245</v>
      </c>
      <c r="BK322" s="30" t="s">
        <v>245</v>
      </c>
      <c r="BL322" s="30" t="s">
        <v>245</v>
      </c>
      <c r="BM322" s="30" t="s">
        <v>245</v>
      </c>
      <c r="BN322" s="30" t="s">
        <v>245</v>
      </c>
      <c r="BO322" s="30" t="s">
        <v>245</v>
      </c>
      <c r="BP322" s="30" t="s">
        <v>245</v>
      </c>
      <c r="BQ322" s="30" t="s">
        <v>245</v>
      </c>
      <c r="BR322" s="30" t="s">
        <v>245</v>
      </c>
      <c r="BS322" s="30" t="s">
        <v>245</v>
      </c>
      <c r="BT322" s="30" t="s">
        <v>245</v>
      </c>
      <c r="BU322" s="30" t="s">
        <v>2746</v>
      </c>
      <c r="BV322" s="30" t="str">
        <f>HYPERLINK("https%3A%2F%2Fwww.webofscience.com%2Fwos%2Fwoscc%2Ffull-record%2FWOS:000443995000015","View Full Record in Web of Science")</f>
        <v>View Full Record in Web of Science</v>
      </c>
    </row>
    <row r="323" spans="1:74" x14ac:dyDescent="0.2">
      <c r="A323" s="30" t="s">
        <v>243</v>
      </c>
      <c r="B323" s="30" t="s">
        <v>2747</v>
      </c>
      <c r="C323" s="30" t="s">
        <v>245</v>
      </c>
      <c r="D323" s="30" t="s">
        <v>245</v>
      </c>
      <c r="E323" s="30" t="s">
        <v>245</v>
      </c>
      <c r="F323" s="30" t="s">
        <v>2748</v>
      </c>
      <c r="G323" s="30" t="s">
        <v>245</v>
      </c>
      <c r="H323" s="30" t="s">
        <v>245</v>
      </c>
      <c r="I323" s="30" t="s">
        <v>2823</v>
      </c>
      <c r="K323" s="30" t="s">
        <v>2749</v>
      </c>
      <c r="L323" s="30" t="s">
        <v>2750</v>
      </c>
      <c r="M323" s="30" t="s">
        <v>245</v>
      </c>
      <c r="N323" s="30" t="s">
        <v>245</v>
      </c>
      <c r="O323" s="30" t="s">
        <v>245</v>
      </c>
      <c r="P323" s="30" t="s">
        <v>245</v>
      </c>
      <c r="Q323" s="30" t="s">
        <v>245</v>
      </c>
      <c r="R323" s="30" t="s">
        <v>245</v>
      </c>
      <c r="S323" s="30" t="s">
        <v>245</v>
      </c>
      <c r="T323" s="30" t="s">
        <v>245</v>
      </c>
      <c r="U323" s="30" t="s">
        <v>245</v>
      </c>
      <c r="V323" s="30" t="s">
        <v>245</v>
      </c>
      <c r="W323" s="30" t="s">
        <v>245</v>
      </c>
      <c r="X323" s="30" t="s">
        <v>245</v>
      </c>
      <c r="Y323" s="30" t="s">
        <v>245</v>
      </c>
      <c r="Z323" s="30" t="s">
        <v>245</v>
      </c>
      <c r="AA323" s="30" t="s">
        <v>245</v>
      </c>
      <c r="AB323" s="30" t="s">
        <v>245</v>
      </c>
      <c r="AC323" s="30" t="s">
        <v>2751</v>
      </c>
      <c r="AD323" s="30" t="s">
        <v>2752</v>
      </c>
      <c r="AE323" s="30" t="s">
        <v>245</v>
      </c>
      <c r="AF323" s="30" t="s">
        <v>245</v>
      </c>
      <c r="AG323" s="30" t="s">
        <v>245</v>
      </c>
      <c r="AH323" s="30" t="s">
        <v>245</v>
      </c>
      <c r="AI323" s="30" t="s">
        <v>245</v>
      </c>
      <c r="AJ323" s="30" t="s">
        <v>245</v>
      </c>
      <c r="AK323" s="30" t="s">
        <v>245</v>
      </c>
      <c r="AL323" s="30" t="s">
        <v>245</v>
      </c>
      <c r="AM323" s="30" t="s">
        <v>245</v>
      </c>
      <c r="AN323" s="30" t="s">
        <v>245</v>
      </c>
      <c r="AO323" s="30" t="s">
        <v>245</v>
      </c>
      <c r="AP323" s="30" t="s">
        <v>245</v>
      </c>
      <c r="AQ323" s="30" t="s">
        <v>2753</v>
      </c>
      <c r="AR323" s="30" t="s">
        <v>2754</v>
      </c>
      <c r="AS323" s="30" t="s">
        <v>245</v>
      </c>
      <c r="AT323" s="30" t="s">
        <v>245</v>
      </c>
      <c r="AU323" s="30" t="s">
        <v>245</v>
      </c>
      <c r="AV323" s="30" t="s">
        <v>487</v>
      </c>
      <c r="AW323" s="30">
        <v>2014</v>
      </c>
      <c r="AX323" s="30">
        <v>37</v>
      </c>
      <c r="AY323" s="30">
        <v>2</v>
      </c>
      <c r="AZ323" s="30" t="s">
        <v>245</v>
      </c>
      <c r="BA323" s="30" t="s">
        <v>245</v>
      </c>
      <c r="BB323" s="30" t="s">
        <v>245</v>
      </c>
      <c r="BC323" s="30" t="s">
        <v>245</v>
      </c>
      <c r="BD323" s="30">
        <v>381</v>
      </c>
      <c r="BE323" s="30">
        <v>398</v>
      </c>
      <c r="BF323" s="30" t="s">
        <v>245</v>
      </c>
      <c r="BG323" s="30" t="s">
        <v>2755</v>
      </c>
      <c r="BH323" s="30" t="str">
        <f>HYPERLINK("http://dx.doi.org/10.1007/s12237-013-9674-4","http://dx.doi.org/10.1007/s12237-013-9674-4")</f>
        <v>http://dx.doi.org/10.1007/s12237-013-9674-4</v>
      </c>
      <c r="BI323" s="30" t="s">
        <v>245</v>
      </c>
      <c r="BJ323" s="30" t="s">
        <v>245</v>
      </c>
      <c r="BK323" s="30" t="s">
        <v>245</v>
      </c>
      <c r="BL323" s="30" t="s">
        <v>245</v>
      </c>
      <c r="BM323" s="30" t="s">
        <v>245</v>
      </c>
      <c r="BN323" s="30" t="s">
        <v>245</v>
      </c>
      <c r="BO323" s="30" t="s">
        <v>245</v>
      </c>
      <c r="BP323" s="30" t="s">
        <v>245</v>
      </c>
      <c r="BQ323" s="30" t="s">
        <v>245</v>
      </c>
      <c r="BR323" s="30" t="s">
        <v>245</v>
      </c>
      <c r="BS323" s="30" t="s">
        <v>245</v>
      </c>
      <c r="BT323" s="30" t="s">
        <v>245</v>
      </c>
      <c r="BU323" s="30" t="s">
        <v>2756</v>
      </c>
      <c r="BV323" s="30" t="str">
        <f>HYPERLINK("https%3A%2F%2Fwww.webofscience.com%2Fwos%2Fwoscc%2Ffull-record%2FWOS:000334170400010","View Full Record in Web of Science")</f>
        <v>View Full Record in Web of Science</v>
      </c>
    </row>
    <row r="324" spans="1:74" x14ac:dyDescent="0.2">
      <c r="A324" s="30" t="s">
        <v>243</v>
      </c>
      <c r="B324" s="30" t="s">
        <v>2757</v>
      </c>
      <c r="C324" s="30" t="s">
        <v>245</v>
      </c>
      <c r="D324" s="30" t="s">
        <v>245</v>
      </c>
      <c r="E324" s="30" t="s">
        <v>245</v>
      </c>
      <c r="F324" s="30" t="s">
        <v>2758</v>
      </c>
      <c r="G324" s="30" t="s">
        <v>245</v>
      </c>
      <c r="H324" s="30" t="s">
        <v>245</v>
      </c>
      <c r="I324" s="30" t="s">
        <v>2823</v>
      </c>
      <c r="K324" s="30" t="s">
        <v>2759</v>
      </c>
      <c r="L324" s="30" t="s">
        <v>2760</v>
      </c>
      <c r="M324" s="30" t="s">
        <v>245</v>
      </c>
      <c r="N324" s="30" t="s">
        <v>245</v>
      </c>
      <c r="O324" s="30" t="s">
        <v>245</v>
      </c>
      <c r="P324" s="30" t="s">
        <v>245</v>
      </c>
      <c r="Q324" s="30" t="s">
        <v>245</v>
      </c>
      <c r="R324" s="30" t="s">
        <v>245</v>
      </c>
      <c r="S324" s="30" t="s">
        <v>245</v>
      </c>
      <c r="T324" s="30" t="s">
        <v>245</v>
      </c>
      <c r="U324" s="30" t="s">
        <v>245</v>
      </c>
      <c r="V324" s="30" t="s">
        <v>245</v>
      </c>
      <c r="W324" s="30" t="s">
        <v>245</v>
      </c>
      <c r="X324" s="30" t="s">
        <v>245</v>
      </c>
      <c r="Y324" s="30" t="s">
        <v>245</v>
      </c>
      <c r="Z324" s="30" t="s">
        <v>245</v>
      </c>
      <c r="AA324" s="30" t="s">
        <v>245</v>
      </c>
      <c r="AB324" s="30" t="s">
        <v>245</v>
      </c>
      <c r="AC324" s="30" t="s">
        <v>2761</v>
      </c>
      <c r="AD324" s="30" t="s">
        <v>2762</v>
      </c>
      <c r="AE324" s="30" t="s">
        <v>245</v>
      </c>
      <c r="AF324" s="30" t="s">
        <v>245</v>
      </c>
      <c r="AG324" s="30" t="s">
        <v>245</v>
      </c>
      <c r="AH324" s="30" t="s">
        <v>245</v>
      </c>
      <c r="AI324" s="30" t="s">
        <v>245</v>
      </c>
      <c r="AJ324" s="30" t="s">
        <v>245</v>
      </c>
      <c r="AK324" s="30" t="s">
        <v>245</v>
      </c>
      <c r="AL324" s="30" t="s">
        <v>245</v>
      </c>
      <c r="AM324" s="30" t="s">
        <v>245</v>
      </c>
      <c r="AN324" s="30" t="s">
        <v>245</v>
      </c>
      <c r="AO324" s="30" t="s">
        <v>245</v>
      </c>
      <c r="AP324" s="30" t="s">
        <v>245</v>
      </c>
      <c r="AQ324" s="30" t="s">
        <v>2763</v>
      </c>
      <c r="AR324" s="30" t="s">
        <v>2764</v>
      </c>
      <c r="AS324" s="30" t="s">
        <v>245</v>
      </c>
      <c r="AT324" s="30" t="s">
        <v>245</v>
      </c>
      <c r="AU324" s="30" t="s">
        <v>245</v>
      </c>
      <c r="AV324" s="30" t="s">
        <v>297</v>
      </c>
      <c r="AW324" s="30">
        <v>2013</v>
      </c>
      <c r="AX324" s="30">
        <v>21</v>
      </c>
      <c r="AY324" s="30">
        <v>5</v>
      </c>
      <c r="AZ324" s="30" t="s">
        <v>245</v>
      </c>
      <c r="BA324" s="30" t="s">
        <v>245</v>
      </c>
      <c r="BB324" s="30" t="s">
        <v>245</v>
      </c>
      <c r="BC324" s="30" t="s">
        <v>245</v>
      </c>
      <c r="BD324" s="30">
        <v>323</v>
      </c>
      <c r="BE324" s="30">
        <v>337</v>
      </c>
      <c r="BF324" s="30" t="s">
        <v>245</v>
      </c>
      <c r="BG324" s="30" t="s">
        <v>2765</v>
      </c>
      <c r="BH324" s="30" t="str">
        <f>HYPERLINK("http://dx.doi.org/10.1007/s11273-013-9304-8","http://dx.doi.org/10.1007/s11273-013-9304-8")</f>
        <v>http://dx.doi.org/10.1007/s11273-013-9304-8</v>
      </c>
      <c r="BI324" s="30" t="s">
        <v>245</v>
      </c>
      <c r="BJ324" s="30" t="s">
        <v>245</v>
      </c>
      <c r="BK324" s="30" t="s">
        <v>245</v>
      </c>
      <c r="BL324" s="30" t="s">
        <v>245</v>
      </c>
      <c r="BM324" s="30" t="s">
        <v>245</v>
      </c>
      <c r="BN324" s="30" t="s">
        <v>245</v>
      </c>
      <c r="BO324" s="30" t="s">
        <v>245</v>
      </c>
      <c r="BP324" s="30" t="s">
        <v>245</v>
      </c>
      <c r="BQ324" s="30" t="s">
        <v>245</v>
      </c>
      <c r="BR324" s="30" t="s">
        <v>245</v>
      </c>
      <c r="BS324" s="30" t="s">
        <v>245</v>
      </c>
      <c r="BT324" s="30" t="s">
        <v>245</v>
      </c>
      <c r="BU324" s="30" t="s">
        <v>2766</v>
      </c>
      <c r="BV324" s="30" t="str">
        <f>HYPERLINK("https%3A%2F%2Fwww.webofscience.com%2Fwos%2Fwoscc%2Ffull-record%2FWOS:000325011100003","View Full Record in Web of Science")</f>
        <v>View Full Record in Web of Science</v>
      </c>
    </row>
    <row r="325" spans="1:74" x14ac:dyDescent="0.2">
      <c r="A325" s="30" t="s">
        <v>243</v>
      </c>
      <c r="B325" s="30" t="s">
        <v>2767</v>
      </c>
      <c r="C325" s="30" t="s">
        <v>245</v>
      </c>
      <c r="D325" s="30" t="s">
        <v>245</v>
      </c>
      <c r="E325" s="30" t="s">
        <v>245</v>
      </c>
      <c r="F325" s="30" t="s">
        <v>2768</v>
      </c>
      <c r="G325" s="30" t="s">
        <v>245</v>
      </c>
      <c r="H325" s="30" t="s">
        <v>245</v>
      </c>
      <c r="I325" s="30" t="s">
        <v>2823</v>
      </c>
      <c r="K325" s="30" t="s">
        <v>2769</v>
      </c>
      <c r="L325" s="30" t="s">
        <v>1015</v>
      </c>
      <c r="M325" s="30" t="s">
        <v>245</v>
      </c>
      <c r="N325" s="30" t="s">
        <v>245</v>
      </c>
      <c r="O325" s="30" t="s">
        <v>245</v>
      </c>
      <c r="P325" s="30" t="s">
        <v>245</v>
      </c>
      <c r="Q325" s="30" t="s">
        <v>245</v>
      </c>
      <c r="R325" s="30" t="s">
        <v>245</v>
      </c>
      <c r="S325" s="30" t="s">
        <v>245</v>
      </c>
      <c r="T325" s="30" t="s">
        <v>245</v>
      </c>
      <c r="U325" s="30" t="s">
        <v>245</v>
      </c>
      <c r="V325" s="30" t="s">
        <v>245</v>
      </c>
      <c r="W325" s="30" t="s">
        <v>245</v>
      </c>
      <c r="X325" s="30" t="s">
        <v>245</v>
      </c>
      <c r="Y325" s="30" t="s">
        <v>245</v>
      </c>
      <c r="Z325" s="30" t="s">
        <v>245</v>
      </c>
      <c r="AA325" s="30" t="s">
        <v>245</v>
      </c>
      <c r="AB325" s="30" t="s">
        <v>245</v>
      </c>
      <c r="AC325" s="30" t="s">
        <v>2770</v>
      </c>
      <c r="AD325" s="30" t="s">
        <v>2771</v>
      </c>
      <c r="AE325" s="30" t="s">
        <v>245</v>
      </c>
      <c r="AF325" s="30" t="s">
        <v>245</v>
      </c>
      <c r="AG325" s="30" t="s">
        <v>245</v>
      </c>
      <c r="AH325" s="30" t="s">
        <v>245</v>
      </c>
      <c r="AI325" s="30" t="s">
        <v>245</v>
      </c>
      <c r="AJ325" s="30" t="s">
        <v>245</v>
      </c>
      <c r="AK325" s="30" t="s">
        <v>245</v>
      </c>
      <c r="AL325" s="30" t="s">
        <v>245</v>
      </c>
      <c r="AM325" s="30" t="s">
        <v>245</v>
      </c>
      <c r="AN325" s="30" t="s">
        <v>245</v>
      </c>
      <c r="AO325" s="30" t="s">
        <v>245</v>
      </c>
      <c r="AP325" s="30" t="s">
        <v>245</v>
      </c>
      <c r="AQ325" s="30" t="s">
        <v>1018</v>
      </c>
      <c r="AR325" s="30" t="s">
        <v>1019</v>
      </c>
      <c r="AS325" s="30" t="s">
        <v>245</v>
      </c>
      <c r="AT325" s="30" t="s">
        <v>245</v>
      </c>
      <c r="AU325" s="30" t="s">
        <v>245</v>
      </c>
      <c r="AV325" s="30" t="s">
        <v>481</v>
      </c>
      <c r="AW325" s="30">
        <v>2018</v>
      </c>
      <c r="AX325" s="30">
        <v>141</v>
      </c>
      <c r="AY325" s="30">
        <v>3</v>
      </c>
      <c r="AZ325" s="30" t="s">
        <v>245</v>
      </c>
      <c r="BA325" s="30" t="s">
        <v>245</v>
      </c>
      <c r="BB325" s="30" t="s">
        <v>298</v>
      </c>
      <c r="BC325" s="30" t="s">
        <v>245</v>
      </c>
      <c r="BD325" s="30">
        <v>281</v>
      </c>
      <c r="BE325" s="30">
        <v>305</v>
      </c>
      <c r="BF325" s="30" t="s">
        <v>245</v>
      </c>
      <c r="BG325" s="30" t="s">
        <v>2772</v>
      </c>
      <c r="BH325" s="30" t="str">
        <f>HYPERLINK("http://dx.doi.org/10.1007/s10533-018-0502-6","http://dx.doi.org/10.1007/s10533-018-0502-6")</f>
        <v>http://dx.doi.org/10.1007/s10533-018-0502-6</v>
      </c>
      <c r="BI325" s="30" t="s">
        <v>245</v>
      </c>
      <c r="BJ325" s="30" t="s">
        <v>245</v>
      </c>
      <c r="BK325" s="30" t="s">
        <v>245</v>
      </c>
      <c r="BL325" s="30" t="s">
        <v>245</v>
      </c>
      <c r="BM325" s="30" t="s">
        <v>245</v>
      </c>
      <c r="BN325" s="30" t="s">
        <v>245</v>
      </c>
      <c r="BO325" s="30" t="s">
        <v>245</v>
      </c>
      <c r="BP325" s="30">
        <v>31427837</v>
      </c>
      <c r="BQ325" s="30" t="s">
        <v>245</v>
      </c>
      <c r="BR325" s="30" t="s">
        <v>245</v>
      </c>
      <c r="BS325" s="30" t="s">
        <v>245</v>
      </c>
      <c r="BT325" s="30" t="s">
        <v>245</v>
      </c>
      <c r="BU325" s="30" t="s">
        <v>2773</v>
      </c>
      <c r="BV325" s="30" t="str">
        <f>HYPERLINK("https%3A%2F%2Fwww.webofscience.com%2Fwos%2Fwoscc%2Ffull-record%2FWOS:000451259700002","View Full Record in Web of Science")</f>
        <v>View Full Record in Web of Science</v>
      </c>
    </row>
    <row r="326" spans="1:74" x14ac:dyDescent="0.2">
      <c r="A326" s="30" t="s">
        <v>243</v>
      </c>
      <c r="B326" s="30" t="s">
        <v>2774</v>
      </c>
      <c r="C326" s="30" t="s">
        <v>245</v>
      </c>
      <c r="D326" s="30" t="s">
        <v>245</v>
      </c>
      <c r="E326" s="30" t="s">
        <v>245</v>
      </c>
      <c r="F326" s="30" t="s">
        <v>2775</v>
      </c>
      <c r="G326" s="30" t="s">
        <v>245</v>
      </c>
      <c r="H326" s="30" t="s">
        <v>245</v>
      </c>
      <c r="I326" s="30" t="s">
        <v>2823</v>
      </c>
      <c r="K326" s="30" t="s">
        <v>2776</v>
      </c>
      <c r="L326" s="30" t="s">
        <v>1054</v>
      </c>
      <c r="M326" s="30" t="s">
        <v>245</v>
      </c>
      <c r="N326" s="30" t="s">
        <v>245</v>
      </c>
      <c r="O326" s="30" t="s">
        <v>245</v>
      </c>
      <c r="P326" s="30" t="s">
        <v>245</v>
      </c>
      <c r="Q326" s="30" t="s">
        <v>245</v>
      </c>
      <c r="R326" s="30" t="s">
        <v>245</v>
      </c>
      <c r="S326" s="30" t="s">
        <v>245</v>
      </c>
      <c r="T326" s="30" t="s">
        <v>245</v>
      </c>
      <c r="U326" s="30" t="s">
        <v>245</v>
      </c>
      <c r="V326" s="30" t="s">
        <v>245</v>
      </c>
      <c r="W326" s="30" t="s">
        <v>245</v>
      </c>
      <c r="X326" s="30" t="s">
        <v>245</v>
      </c>
      <c r="Y326" s="30" t="s">
        <v>245</v>
      </c>
      <c r="Z326" s="30" t="s">
        <v>245</v>
      </c>
      <c r="AA326" s="30" t="s">
        <v>245</v>
      </c>
      <c r="AB326" s="30" t="s">
        <v>245</v>
      </c>
      <c r="AC326" s="30" t="s">
        <v>2777</v>
      </c>
      <c r="AD326" s="30" t="s">
        <v>2778</v>
      </c>
      <c r="AE326" s="30" t="s">
        <v>245</v>
      </c>
      <c r="AF326" s="30" t="s">
        <v>245</v>
      </c>
      <c r="AG326" s="30" t="s">
        <v>245</v>
      </c>
      <c r="AH326" s="30" t="s">
        <v>245</v>
      </c>
      <c r="AI326" s="30" t="s">
        <v>245</v>
      </c>
      <c r="AJ326" s="30" t="s">
        <v>245</v>
      </c>
      <c r="AK326" s="30" t="s">
        <v>245</v>
      </c>
      <c r="AL326" s="30" t="s">
        <v>245</v>
      </c>
      <c r="AM326" s="30" t="s">
        <v>245</v>
      </c>
      <c r="AN326" s="30" t="s">
        <v>245</v>
      </c>
      <c r="AO326" s="30" t="s">
        <v>245</v>
      </c>
      <c r="AP326" s="30" t="s">
        <v>245</v>
      </c>
      <c r="AQ326" s="30" t="s">
        <v>1055</v>
      </c>
      <c r="AR326" s="30" t="s">
        <v>1056</v>
      </c>
      <c r="AS326" s="30" t="s">
        <v>245</v>
      </c>
      <c r="AT326" s="30" t="s">
        <v>245</v>
      </c>
      <c r="AU326" s="30" t="s">
        <v>245</v>
      </c>
      <c r="AV326" s="30" t="s">
        <v>265</v>
      </c>
      <c r="AW326" s="30">
        <v>2014</v>
      </c>
      <c r="AX326" s="30">
        <v>34</v>
      </c>
      <c r="AY326" s="30">
        <v>3</v>
      </c>
      <c r="AZ326" s="30" t="s">
        <v>245</v>
      </c>
      <c r="BA326" s="30" t="s">
        <v>245</v>
      </c>
      <c r="BB326" s="30" t="s">
        <v>245</v>
      </c>
      <c r="BC326" s="30" t="s">
        <v>245</v>
      </c>
      <c r="BD326" s="30">
        <v>593</v>
      </c>
      <c r="BE326" s="30">
        <v>602</v>
      </c>
      <c r="BF326" s="30" t="s">
        <v>245</v>
      </c>
      <c r="BG326" s="30" t="s">
        <v>2779</v>
      </c>
      <c r="BH326" s="30" t="str">
        <f>HYPERLINK("http://dx.doi.org/10.1007/s13157-014-0528-z","http://dx.doi.org/10.1007/s13157-014-0528-z")</f>
        <v>http://dx.doi.org/10.1007/s13157-014-0528-z</v>
      </c>
      <c r="BI326" s="30" t="s">
        <v>245</v>
      </c>
      <c r="BJ326" s="30" t="s">
        <v>245</v>
      </c>
      <c r="BK326" s="30" t="s">
        <v>245</v>
      </c>
      <c r="BL326" s="30" t="s">
        <v>245</v>
      </c>
      <c r="BM326" s="30" t="s">
        <v>245</v>
      </c>
      <c r="BN326" s="30" t="s">
        <v>245</v>
      </c>
      <c r="BO326" s="30" t="s">
        <v>245</v>
      </c>
      <c r="BP326" s="30" t="s">
        <v>245</v>
      </c>
      <c r="BQ326" s="30" t="s">
        <v>245</v>
      </c>
      <c r="BR326" s="30" t="s">
        <v>245</v>
      </c>
      <c r="BS326" s="30" t="s">
        <v>245</v>
      </c>
      <c r="BT326" s="30" t="s">
        <v>245</v>
      </c>
      <c r="BU326" s="30" t="s">
        <v>2780</v>
      </c>
      <c r="BV326" s="30" t="str">
        <f>HYPERLINK("https%3A%2F%2Fwww.webofscience.com%2Fwos%2Fwoscc%2Ffull-record%2FWOS:000336288800018","View Full Record in Web of Science")</f>
        <v>View Full Record in Web of Science</v>
      </c>
    </row>
    <row r="327" spans="1:74" x14ac:dyDescent="0.2">
      <c r="A327" s="30" t="s">
        <v>243</v>
      </c>
      <c r="B327" s="30" t="s">
        <v>2781</v>
      </c>
      <c r="C327" s="30" t="s">
        <v>245</v>
      </c>
      <c r="D327" s="30" t="s">
        <v>245</v>
      </c>
      <c r="E327" s="30" t="s">
        <v>245</v>
      </c>
      <c r="F327" s="30" t="s">
        <v>2781</v>
      </c>
      <c r="G327" s="30" t="s">
        <v>245</v>
      </c>
      <c r="H327" s="30" t="s">
        <v>245</v>
      </c>
      <c r="J327" s="30" t="s">
        <v>2841</v>
      </c>
      <c r="K327" s="30" t="s">
        <v>2782</v>
      </c>
      <c r="L327" s="30" t="s">
        <v>641</v>
      </c>
      <c r="M327" s="30" t="s">
        <v>245</v>
      </c>
      <c r="N327" s="30" t="s">
        <v>245</v>
      </c>
      <c r="O327" s="30" t="s">
        <v>245</v>
      </c>
      <c r="P327" s="30" t="s">
        <v>245</v>
      </c>
      <c r="Q327" s="30" t="s">
        <v>245</v>
      </c>
      <c r="R327" s="30" t="s">
        <v>245</v>
      </c>
      <c r="S327" s="30" t="s">
        <v>245</v>
      </c>
      <c r="T327" s="30" t="s">
        <v>245</v>
      </c>
      <c r="U327" s="30" t="s">
        <v>245</v>
      </c>
      <c r="V327" s="30" t="s">
        <v>245</v>
      </c>
      <c r="W327" s="30" t="s">
        <v>245</v>
      </c>
      <c r="X327" s="30" t="s">
        <v>245</v>
      </c>
      <c r="Y327" s="30" t="s">
        <v>245</v>
      </c>
      <c r="Z327" s="30" t="s">
        <v>245</v>
      </c>
      <c r="AA327" s="30" t="s">
        <v>245</v>
      </c>
      <c r="AB327" s="30" t="s">
        <v>245</v>
      </c>
      <c r="AC327" s="30" t="s">
        <v>2783</v>
      </c>
      <c r="AD327" s="30" t="s">
        <v>2784</v>
      </c>
      <c r="AE327" s="30" t="s">
        <v>245</v>
      </c>
      <c r="AF327" s="30" t="s">
        <v>245</v>
      </c>
      <c r="AG327" s="30" t="s">
        <v>245</v>
      </c>
      <c r="AH327" s="30" t="s">
        <v>245</v>
      </c>
      <c r="AI327" s="30" t="s">
        <v>245</v>
      </c>
      <c r="AJ327" s="30" t="s">
        <v>245</v>
      </c>
      <c r="AK327" s="30" t="s">
        <v>245</v>
      </c>
      <c r="AL327" s="30" t="s">
        <v>245</v>
      </c>
      <c r="AM327" s="30" t="s">
        <v>245</v>
      </c>
      <c r="AN327" s="30" t="s">
        <v>245</v>
      </c>
      <c r="AO327" s="30" t="s">
        <v>245</v>
      </c>
      <c r="AP327" s="30" t="s">
        <v>245</v>
      </c>
      <c r="AQ327" s="30" t="s">
        <v>644</v>
      </c>
      <c r="AR327" s="30" t="s">
        <v>645</v>
      </c>
      <c r="AS327" s="30" t="s">
        <v>245</v>
      </c>
      <c r="AT327" s="30" t="s">
        <v>245</v>
      </c>
      <c r="AU327" s="30" t="s">
        <v>245</v>
      </c>
      <c r="AV327" s="30" t="s">
        <v>841</v>
      </c>
      <c r="AW327" s="30">
        <v>2005</v>
      </c>
      <c r="AX327" s="30">
        <v>34</v>
      </c>
      <c r="AY327" s="30">
        <v>3</v>
      </c>
      <c r="AZ327" s="30" t="s">
        <v>245</v>
      </c>
      <c r="BA327" s="30" t="s">
        <v>245</v>
      </c>
      <c r="BB327" s="30" t="s">
        <v>245</v>
      </c>
      <c r="BC327" s="30" t="s">
        <v>245</v>
      </c>
      <c r="BD327" s="30">
        <v>774</v>
      </c>
      <c r="BE327" s="30">
        <v>781</v>
      </c>
      <c r="BF327" s="30" t="s">
        <v>245</v>
      </c>
      <c r="BG327" s="30" t="s">
        <v>2785</v>
      </c>
      <c r="BH327" s="30" t="str">
        <f>HYPERLINK("http://dx.doi.org/10.2134/jeq2004.0388","http://dx.doi.org/10.2134/jeq2004.0388")</f>
        <v>http://dx.doi.org/10.2134/jeq2004.0388</v>
      </c>
      <c r="BI327" s="30" t="s">
        <v>245</v>
      </c>
      <c r="BJ327" s="30" t="s">
        <v>245</v>
      </c>
      <c r="BK327" s="30" t="s">
        <v>245</v>
      </c>
      <c r="BL327" s="30" t="s">
        <v>245</v>
      </c>
      <c r="BM327" s="30" t="s">
        <v>245</v>
      </c>
      <c r="BN327" s="30" t="s">
        <v>245</v>
      </c>
      <c r="BO327" s="30" t="s">
        <v>245</v>
      </c>
      <c r="BP327" s="30">
        <v>15843640</v>
      </c>
      <c r="BQ327" s="30" t="s">
        <v>245</v>
      </c>
      <c r="BR327" s="30" t="s">
        <v>245</v>
      </c>
      <c r="BS327" s="30" t="s">
        <v>245</v>
      </c>
      <c r="BT327" s="30" t="s">
        <v>245</v>
      </c>
      <c r="BU327" s="30" t="s">
        <v>2786</v>
      </c>
      <c r="BV327" s="30" t="str">
        <f>HYPERLINK("https%3A%2F%2Fwww.webofscience.com%2Fwos%2Fwoscc%2Ffull-record%2FWOS:000229265000003","View Full Record in Web of Science")</f>
        <v>View Full Record in Web of Science</v>
      </c>
    </row>
    <row r="328" spans="1:74" x14ac:dyDescent="0.2">
      <c r="A328" s="30" t="s">
        <v>243</v>
      </c>
      <c r="B328" s="30" t="s">
        <v>2787</v>
      </c>
      <c r="C328" s="30" t="s">
        <v>245</v>
      </c>
      <c r="D328" s="30" t="s">
        <v>245</v>
      </c>
      <c r="E328" s="30" t="s">
        <v>245</v>
      </c>
      <c r="F328" s="30" t="s">
        <v>2788</v>
      </c>
      <c r="G328" s="30" t="s">
        <v>245</v>
      </c>
      <c r="H328" s="30" t="s">
        <v>245</v>
      </c>
      <c r="I328" s="30" t="s">
        <v>2823</v>
      </c>
      <c r="K328" s="30" t="s">
        <v>2789</v>
      </c>
      <c r="L328" s="30" t="s">
        <v>2790</v>
      </c>
      <c r="M328" s="30" t="s">
        <v>245</v>
      </c>
      <c r="N328" s="30" t="s">
        <v>245</v>
      </c>
      <c r="O328" s="30" t="s">
        <v>245</v>
      </c>
      <c r="P328" s="30" t="s">
        <v>245</v>
      </c>
      <c r="Q328" s="30" t="s">
        <v>245</v>
      </c>
      <c r="R328" s="30" t="s">
        <v>245</v>
      </c>
      <c r="S328" s="30" t="s">
        <v>245</v>
      </c>
      <c r="T328" s="30" t="s">
        <v>245</v>
      </c>
      <c r="U328" s="30" t="s">
        <v>245</v>
      </c>
      <c r="V328" s="30" t="s">
        <v>245</v>
      </c>
      <c r="W328" s="30" t="s">
        <v>245</v>
      </c>
      <c r="X328" s="30" t="s">
        <v>245</v>
      </c>
      <c r="Y328" s="30" t="s">
        <v>245</v>
      </c>
      <c r="Z328" s="30" t="s">
        <v>245</v>
      </c>
      <c r="AA328" s="30" t="s">
        <v>245</v>
      </c>
      <c r="AB328" s="30" t="s">
        <v>245</v>
      </c>
      <c r="AC328" s="30" t="s">
        <v>2791</v>
      </c>
      <c r="AD328" s="30" t="s">
        <v>2792</v>
      </c>
      <c r="AE328" s="30" t="s">
        <v>245</v>
      </c>
      <c r="AF328" s="30" t="s">
        <v>245</v>
      </c>
      <c r="AG328" s="30" t="s">
        <v>245</v>
      </c>
      <c r="AH328" s="30" t="s">
        <v>245</v>
      </c>
      <c r="AI328" s="30" t="s">
        <v>245</v>
      </c>
      <c r="AJ328" s="30" t="s">
        <v>245</v>
      </c>
      <c r="AK328" s="30" t="s">
        <v>245</v>
      </c>
      <c r="AL328" s="30" t="s">
        <v>245</v>
      </c>
      <c r="AM328" s="30" t="s">
        <v>245</v>
      </c>
      <c r="AN328" s="30" t="s">
        <v>245</v>
      </c>
      <c r="AO328" s="30" t="s">
        <v>245</v>
      </c>
      <c r="AP328" s="30" t="s">
        <v>245</v>
      </c>
      <c r="AQ328" s="30" t="s">
        <v>2793</v>
      </c>
      <c r="AR328" s="30" t="s">
        <v>2794</v>
      </c>
      <c r="AS328" s="30" t="s">
        <v>245</v>
      </c>
      <c r="AT328" s="30" t="s">
        <v>245</v>
      </c>
      <c r="AU328" s="30" t="s">
        <v>245</v>
      </c>
      <c r="AV328" s="30" t="s">
        <v>1429</v>
      </c>
      <c r="AW328" s="30">
        <v>2016</v>
      </c>
      <c r="AX328" s="30">
        <v>283</v>
      </c>
      <c r="AY328" s="30">
        <v>1831</v>
      </c>
      <c r="AZ328" s="30" t="s">
        <v>245</v>
      </c>
      <c r="BA328" s="30" t="s">
        <v>245</v>
      </c>
      <c r="BB328" s="30" t="s">
        <v>245</v>
      </c>
      <c r="BC328" s="30" t="s">
        <v>245</v>
      </c>
      <c r="BD328" s="30" t="s">
        <v>245</v>
      </c>
      <c r="BE328" s="30" t="s">
        <v>245</v>
      </c>
      <c r="BF328" s="30">
        <v>20160150</v>
      </c>
      <c r="BG328" s="30" t="s">
        <v>2795</v>
      </c>
      <c r="BH328" s="30" t="str">
        <f>HYPERLINK("http://dx.doi.org/10.1098/rspb.2016.0150","http://dx.doi.org/10.1098/rspb.2016.0150")</f>
        <v>http://dx.doi.org/10.1098/rspb.2016.0150</v>
      </c>
      <c r="BI328" s="30" t="s">
        <v>245</v>
      </c>
      <c r="BJ328" s="30" t="s">
        <v>245</v>
      </c>
      <c r="BK328" s="30" t="s">
        <v>245</v>
      </c>
      <c r="BL328" s="30" t="s">
        <v>245</v>
      </c>
      <c r="BM328" s="30" t="s">
        <v>245</v>
      </c>
      <c r="BN328" s="30" t="s">
        <v>245</v>
      </c>
      <c r="BO328" s="30" t="s">
        <v>245</v>
      </c>
      <c r="BP328" s="30">
        <v>27226475</v>
      </c>
      <c r="BQ328" s="30" t="s">
        <v>245</v>
      </c>
      <c r="BR328" s="30" t="s">
        <v>245</v>
      </c>
      <c r="BS328" s="30" t="s">
        <v>245</v>
      </c>
      <c r="BT328" s="30" t="s">
        <v>245</v>
      </c>
      <c r="BU328" s="30" t="s">
        <v>2796</v>
      </c>
      <c r="BV328" s="30" t="str">
        <f>HYPERLINK("https%3A%2F%2Fwww.webofscience.com%2Fwos%2Fwoscc%2Ffull-record%2FWOS:000378318300003","View Full Record in Web of Science")</f>
        <v>View Full Record in Web of Science</v>
      </c>
    </row>
    <row r="329" spans="1:74" x14ac:dyDescent="0.2">
      <c r="A329" s="30" t="s">
        <v>243</v>
      </c>
      <c r="B329" s="30" t="s">
        <v>2797</v>
      </c>
      <c r="C329" s="30" t="s">
        <v>245</v>
      </c>
      <c r="D329" s="30" t="s">
        <v>245</v>
      </c>
      <c r="E329" s="30" t="s">
        <v>245</v>
      </c>
      <c r="F329" s="30" t="s">
        <v>2798</v>
      </c>
      <c r="G329" s="30" t="s">
        <v>245</v>
      </c>
      <c r="H329" s="30" t="s">
        <v>245</v>
      </c>
      <c r="I329" s="30" t="s">
        <v>2823</v>
      </c>
      <c r="K329" s="30" t="s">
        <v>2799</v>
      </c>
      <c r="L329" s="30" t="s">
        <v>2800</v>
      </c>
      <c r="M329" s="30" t="s">
        <v>245</v>
      </c>
      <c r="N329" s="30" t="s">
        <v>245</v>
      </c>
      <c r="O329" s="30" t="s">
        <v>245</v>
      </c>
      <c r="P329" s="30" t="s">
        <v>245</v>
      </c>
      <c r="Q329" s="30" t="s">
        <v>245</v>
      </c>
      <c r="R329" s="30" t="s">
        <v>245</v>
      </c>
      <c r="S329" s="30" t="s">
        <v>245</v>
      </c>
      <c r="T329" s="30" t="s">
        <v>245</v>
      </c>
      <c r="U329" s="30" t="s">
        <v>245</v>
      </c>
      <c r="V329" s="30" t="s">
        <v>245</v>
      </c>
      <c r="W329" s="30" t="s">
        <v>245</v>
      </c>
      <c r="X329" s="30" t="s">
        <v>245</v>
      </c>
      <c r="Y329" s="30" t="s">
        <v>245</v>
      </c>
      <c r="Z329" s="30" t="s">
        <v>245</v>
      </c>
      <c r="AA329" s="30" t="s">
        <v>245</v>
      </c>
      <c r="AB329" s="30" t="s">
        <v>245</v>
      </c>
      <c r="AC329" s="30" t="s">
        <v>2801</v>
      </c>
      <c r="AD329" s="30" t="s">
        <v>2802</v>
      </c>
      <c r="AE329" s="30" t="s">
        <v>245</v>
      </c>
      <c r="AF329" s="30" t="s">
        <v>245</v>
      </c>
      <c r="AG329" s="30" t="s">
        <v>245</v>
      </c>
      <c r="AH329" s="30" t="s">
        <v>245</v>
      </c>
      <c r="AI329" s="30" t="s">
        <v>245</v>
      </c>
      <c r="AJ329" s="30" t="s">
        <v>245</v>
      </c>
      <c r="AK329" s="30" t="s">
        <v>245</v>
      </c>
      <c r="AL329" s="30" t="s">
        <v>245</v>
      </c>
      <c r="AM329" s="30" t="s">
        <v>245</v>
      </c>
      <c r="AN329" s="30" t="s">
        <v>245</v>
      </c>
      <c r="AO329" s="30" t="s">
        <v>245</v>
      </c>
      <c r="AP329" s="30" t="s">
        <v>245</v>
      </c>
      <c r="AQ329" s="30" t="s">
        <v>2803</v>
      </c>
      <c r="AR329" s="30" t="s">
        <v>2804</v>
      </c>
      <c r="AS329" s="30" t="s">
        <v>245</v>
      </c>
      <c r="AT329" s="30" t="s">
        <v>245</v>
      </c>
      <c r="AU329" s="30" t="s">
        <v>245</v>
      </c>
      <c r="AV329" s="30" t="s">
        <v>265</v>
      </c>
      <c r="AW329" s="30">
        <v>2022</v>
      </c>
      <c r="AX329" s="30">
        <v>213</v>
      </c>
      <c r="AY329" s="30" t="s">
        <v>245</v>
      </c>
      <c r="AZ329" s="30" t="s">
        <v>245</v>
      </c>
      <c r="BA329" s="30" t="s">
        <v>245</v>
      </c>
      <c r="BB329" s="30" t="s">
        <v>245</v>
      </c>
      <c r="BC329" s="30" t="s">
        <v>245</v>
      </c>
      <c r="BD329" s="30" t="s">
        <v>245</v>
      </c>
      <c r="BE329" s="30" t="s">
        <v>245</v>
      </c>
      <c r="BF329" s="30">
        <v>106205</v>
      </c>
      <c r="BG329" s="30" t="s">
        <v>2805</v>
      </c>
      <c r="BH329" s="30" t="str">
        <f>HYPERLINK("http://dx.doi.org/10.1016/j.catena.2022.106205","http://dx.doi.org/10.1016/j.catena.2022.106205")</f>
        <v>http://dx.doi.org/10.1016/j.catena.2022.106205</v>
      </c>
      <c r="BI329" s="30" t="s">
        <v>245</v>
      </c>
      <c r="BJ329" s="30" t="s">
        <v>427</v>
      </c>
      <c r="BK329" s="30" t="s">
        <v>245</v>
      </c>
      <c r="BL329" s="30" t="s">
        <v>245</v>
      </c>
      <c r="BM329" s="30" t="s">
        <v>245</v>
      </c>
      <c r="BN329" s="30" t="s">
        <v>245</v>
      </c>
      <c r="BO329" s="30" t="s">
        <v>245</v>
      </c>
      <c r="BP329" s="30" t="s">
        <v>245</v>
      </c>
      <c r="BQ329" s="30" t="s">
        <v>245</v>
      </c>
      <c r="BR329" s="30" t="s">
        <v>245</v>
      </c>
      <c r="BS329" s="30" t="s">
        <v>245</v>
      </c>
      <c r="BT329" s="30" t="s">
        <v>245</v>
      </c>
      <c r="BU329" s="30" t="s">
        <v>2806</v>
      </c>
      <c r="BV329" s="30" t="str">
        <f>HYPERLINK("https%3A%2F%2Fwww.webofscience.com%2Fwos%2Fwoscc%2Ffull-record%2FWOS:000821279600003","View Full Record in Web of Science")</f>
        <v>View Full Record in Web of Science</v>
      </c>
    </row>
    <row r="330" spans="1:74" x14ac:dyDescent="0.2">
      <c r="A330" s="30" t="s">
        <v>2807</v>
      </c>
      <c r="B330" s="30" t="s">
        <v>2222</v>
      </c>
      <c r="C330" s="30" t="s">
        <v>245</v>
      </c>
      <c r="D330" s="30" t="s">
        <v>2808</v>
      </c>
      <c r="E330" s="30" t="s">
        <v>245</v>
      </c>
      <c r="F330" s="30" t="s">
        <v>2809</v>
      </c>
      <c r="G330" s="30" t="s">
        <v>245</v>
      </c>
      <c r="H330" s="30" t="s">
        <v>245</v>
      </c>
      <c r="I330" s="30" t="s">
        <v>2826</v>
      </c>
      <c r="K330" s="30" t="s">
        <v>2810</v>
      </c>
      <c r="L330" s="30" t="s">
        <v>2811</v>
      </c>
      <c r="M330" s="30" t="s">
        <v>2812</v>
      </c>
      <c r="N330" s="30" t="s">
        <v>245</v>
      </c>
      <c r="O330" s="30" t="s">
        <v>245</v>
      </c>
      <c r="P330" s="30" t="s">
        <v>245</v>
      </c>
      <c r="Q330" s="30" t="s">
        <v>245</v>
      </c>
      <c r="R330" s="30" t="s">
        <v>245</v>
      </c>
      <c r="S330" s="30" t="s">
        <v>245</v>
      </c>
      <c r="T330" s="30" t="s">
        <v>245</v>
      </c>
      <c r="U330" s="30" t="s">
        <v>245</v>
      </c>
      <c r="V330" s="30" t="s">
        <v>245</v>
      </c>
      <c r="W330" s="30" t="s">
        <v>245</v>
      </c>
      <c r="X330" s="30" t="s">
        <v>245</v>
      </c>
      <c r="Y330" s="30" t="s">
        <v>245</v>
      </c>
      <c r="Z330" s="30" t="s">
        <v>245</v>
      </c>
      <c r="AA330" s="30" t="s">
        <v>245</v>
      </c>
      <c r="AB330" s="30" t="s">
        <v>245</v>
      </c>
      <c r="AC330" s="30" t="s">
        <v>245</v>
      </c>
      <c r="AD330" s="30" t="s">
        <v>245</v>
      </c>
      <c r="AE330" s="30" t="s">
        <v>245</v>
      </c>
      <c r="AF330" s="30" t="s">
        <v>245</v>
      </c>
      <c r="AG330" s="30" t="s">
        <v>245</v>
      </c>
      <c r="AH330" s="30" t="s">
        <v>245</v>
      </c>
      <c r="AI330" s="30" t="s">
        <v>245</v>
      </c>
      <c r="AJ330" s="30" t="s">
        <v>245</v>
      </c>
      <c r="AK330" s="30" t="s">
        <v>245</v>
      </c>
      <c r="AL330" s="30" t="s">
        <v>245</v>
      </c>
      <c r="AM330" s="30" t="s">
        <v>245</v>
      </c>
      <c r="AN330" s="30" t="s">
        <v>245</v>
      </c>
      <c r="AO330" s="30" t="s">
        <v>245</v>
      </c>
      <c r="AP330" s="30" t="s">
        <v>245</v>
      </c>
      <c r="AQ330" s="30" t="s">
        <v>2813</v>
      </c>
      <c r="AR330" s="30" t="s">
        <v>245</v>
      </c>
      <c r="AS330" s="30" t="s">
        <v>2814</v>
      </c>
      <c r="AT330" s="30" t="s">
        <v>245</v>
      </c>
      <c r="AU330" s="30" t="s">
        <v>245</v>
      </c>
      <c r="AV330" s="30" t="s">
        <v>245</v>
      </c>
      <c r="AW330" s="30">
        <v>2007</v>
      </c>
      <c r="AX330" s="30">
        <v>96</v>
      </c>
      <c r="AY330" s="30" t="s">
        <v>245</v>
      </c>
      <c r="AZ330" s="30" t="s">
        <v>245</v>
      </c>
      <c r="BA330" s="30" t="s">
        <v>245</v>
      </c>
      <c r="BB330" s="30" t="s">
        <v>245</v>
      </c>
      <c r="BC330" s="30" t="s">
        <v>245</v>
      </c>
      <c r="BD330" s="30">
        <v>1</v>
      </c>
      <c r="BE330" s="30">
        <v>63</v>
      </c>
      <c r="BF330" s="30" t="s">
        <v>245</v>
      </c>
      <c r="BG330" s="30" t="s">
        <v>2815</v>
      </c>
      <c r="BH330" s="30" t="str">
        <f>HYPERLINK("http://dx.doi.org/10.1016/S0065-2113(07)96005-8","http://dx.doi.org/10.1016/S0065-2113(07)96005-8")</f>
        <v>http://dx.doi.org/10.1016/S0065-2113(07)96005-8</v>
      </c>
      <c r="BI330" s="30" t="s">
        <v>245</v>
      </c>
      <c r="BJ330" s="30" t="s">
        <v>245</v>
      </c>
      <c r="BK330" s="30" t="s">
        <v>245</v>
      </c>
      <c r="BL330" s="30" t="s">
        <v>245</v>
      </c>
      <c r="BM330" s="30" t="s">
        <v>245</v>
      </c>
      <c r="BN330" s="30" t="s">
        <v>245</v>
      </c>
      <c r="BO330" s="30" t="s">
        <v>245</v>
      </c>
      <c r="BP330" s="30" t="s">
        <v>245</v>
      </c>
      <c r="BQ330" s="30" t="s">
        <v>245</v>
      </c>
      <c r="BR330" s="30" t="s">
        <v>245</v>
      </c>
      <c r="BS330" s="30" t="s">
        <v>245</v>
      </c>
      <c r="BT330" s="30" t="s">
        <v>245</v>
      </c>
      <c r="BU330" s="30" t="s">
        <v>2816</v>
      </c>
      <c r="BV330" s="30" t="str">
        <f>HYPERLINK("https%3A%2F%2Fwww.webofscience.com%2Fwos%2Fwoscc%2Ffull-record%2FWOS:000250918000001","View Full Record in Web of Science")</f>
        <v>View Full Record in Web of Science</v>
      </c>
    </row>
    <row r="334" spans="1:74" ht="16.5" x14ac:dyDescent="0.3">
      <c r="I334" s="30" t="s">
        <v>2843</v>
      </c>
      <c r="J334" s="35" t="s">
        <v>2837</v>
      </c>
      <c r="K334" s="34">
        <v>14</v>
      </c>
    </row>
    <row r="335" spans="1:74" ht="16.5" x14ac:dyDescent="0.3">
      <c r="I335" s="30" t="s">
        <v>2844</v>
      </c>
      <c r="J335" s="35" t="s">
        <v>2833</v>
      </c>
      <c r="K335" s="34">
        <v>7</v>
      </c>
    </row>
    <row r="336" spans="1:74" ht="16.5" x14ac:dyDescent="0.3">
      <c r="I336" s="30" t="s">
        <v>2845</v>
      </c>
      <c r="J336" s="35" t="s">
        <v>2828</v>
      </c>
      <c r="K336" s="34">
        <v>4</v>
      </c>
    </row>
    <row r="337" spans="9:11" ht="16.5" x14ac:dyDescent="0.3">
      <c r="I337" s="30" t="s">
        <v>2846</v>
      </c>
      <c r="J337" s="35" t="s">
        <v>2831</v>
      </c>
      <c r="K337" s="34">
        <v>3</v>
      </c>
    </row>
    <row r="338" spans="9:11" ht="16.5" x14ac:dyDescent="0.3">
      <c r="I338" s="30" t="s">
        <v>2847</v>
      </c>
      <c r="J338" s="35" t="s">
        <v>2834</v>
      </c>
      <c r="K338" s="34">
        <v>3</v>
      </c>
    </row>
    <row r="339" spans="9:11" ht="16.5" x14ac:dyDescent="0.3">
      <c r="I339" s="30" t="s">
        <v>2848</v>
      </c>
      <c r="J339" s="35" t="s">
        <v>2827</v>
      </c>
      <c r="K339" s="34">
        <v>2</v>
      </c>
    </row>
    <row r="340" spans="9:11" ht="16.5" x14ac:dyDescent="0.3">
      <c r="I340" s="30" t="s">
        <v>2849</v>
      </c>
      <c r="J340" s="35" t="s">
        <v>2841</v>
      </c>
      <c r="K340" s="34">
        <v>2</v>
      </c>
    </row>
    <row r="341" spans="9:11" ht="16.5" x14ac:dyDescent="0.3">
      <c r="I341" s="30" t="s">
        <v>2850</v>
      </c>
      <c r="J341" s="35" t="s">
        <v>2820</v>
      </c>
      <c r="K341" s="34">
        <v>1</v>
      </c>
    </row>
    <row r="342" spans="9:11" ht="16.5" x14ac:dyDescent="0.3">
      <c r="I342" s="30" t="s">
        <v>2851</v>
      </c>
      <c r="J342" s="35" t="s">
        <v>2830</v>
      </c>
      <c r="K342" s="34">
        <v>1</v>
      </c>
    </row>
    <row r="343" spans="9:11" ht="16.5" x14ac:dyDescent="0.3">
      <c r="I343" s="30" t="s">
        <v>2852</v>
      </c>
      <c r="J343" s="35" t="s">
        <v>2832</v>
      </c>
      <c r="K343" s="34">
        <v>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Literature Review</vt:lpstr>
      <vt:lpstr>Search Results</vt:lpstr>
      <vt:lpstr>Screening Procedure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lgh0842@gmail.com</dc:creator>
  <cp:lastModifiedBy>HYUNHO LEE</cp:lastModifiedBy>
  <dcterms:created xsi:type="dcterms:W3CDTF">2025-03-05T01:34:55Z</dcterms:created>
  <dcterms:modified xsi:type="dcterms:W3CDTF">2025-06-30T19:12:16Z</dcterms:modified>
</cp:coreProperties>
</file>