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l\Desktop\"/>
    </mc:Choice>
  </mc:AlternateContent>
  <xr:revisionPtr revIDLastSave="0" documentId="13_ncr:1_{8A1A3804-43F7-4CAC-9289-90B83790D5C1}" xr6:coauthVersionLast="47" xr6:coauthVersionMax="47" xr10:uidLastSave="{00000000-0000-0000-0000-000000000000}"/>
  <bookViews>
    <workbookView xWindow="4755" yWindow="1245" windowWidth="28800" windowHeight="15345" xr2:uid="{B5415E72-B440-4834-A6A2-FFD4E11C21FF}"/>
  </bookViews>
  <sheets>
    <sheet name="Sheet1" sheetId="1" r:id="rId1"/>
  </sheets>
  <definedNames>
    <definedName name="a">Sheet1!$B$24</definedName>
    <definedName name="A_s">Sheet1!$H$22</definedName>
    <definedName name="A_s_th">Sheet1!$H$34</definedName>
    <definedName name="A_s_th_E1">Sheet1!$H$34</definedName>
    <definedName name="A_s_th_E2">Sheet1!$H$46</definedName>
    <definedName name="A_tot">Sheet1!$H$21</definedName>
    <definedName name="A_tot_th">Sheet1!$H$33</definedName>
    <definedName name="A_tot_th_E1">Sheet1!$H$33</definedName>
    <definedName name="A_tot_th_E2">Sheet1!$H$45</definedName>
    <definedName name="A_x">Sheet1!$H$33</definedName>
    <definedName name="alph">Sheet1!$B$35</definedName>
    <definedName name="alpha">Sheet1!$B$13</definedName>
    <definedName name="B_X">Sheet1!#REF!</definedName>
    <definedName name="B_Y">Sheet1!#REF!</definedName>
    <definedName name="beta">Sheet1!$B$33</definedName>
    <definedName name="c_d">Sheet1!$B$7</definedName>
    <definedName name="c_d_t">Sheet1!$H$17</definedName>
    <definedName name="C_energy">Sheet1!$B$28</definedName>
    <definedName name="C_exec">Sheet1!$H$27</definedName>
    <definedName name="C_exec_E1">Sheet1!$H$39</definedName>
    <definedName name="C_exec_E2">Sheet1!$H$51</definedName>
    <definedName name="C_exec_nominal">Sheet1!$H$27</definedName>
    <definedName name="C_inert">Sheet1!$B$26</definedName>
    <definedName name="C_mach">Sheet1!$B$25</definedName>
    <definedName name="C_manufacturing">Sheet1!$H$29</definedName>
    <definedName name="C_manufacturing_nominal">Sheet1!$H$29</definedName>
    <definedName name="C_manufacturing_th_E1">Sheet1!$H$41</definedName>
    <definedName name="C_manufacturing_th_E2">Sheet1!$H$53</definedName>
    <definedName name="C_mat">Sheet1!$H$28</definedName>
    <definedName name="C_mat_E1">Sheet1!$H$40</definedName>
    <definedName name="C_mat_E2">Sheet1!$H$52</definedName>
    <definedName name="C_mat_nominal">Sheet1!$H$28</definedName>
    <definedName name="E">Sheet1!$B$14</definedName>
    <definedName name="E_D">Sheet1!$B$37</definedName>
    <definedName name="ED_mat">Sheet1!$B$8</definedName>
    <definedName name="ED_thresh">Sheet1!$H$18</definedName>
    <definedName name="G_cons">Sheet1!$B$27</definedName>
    <definedName name="h">Sheet1!$B$11</definedName>
    <definedName name="hatch">Sheet1!$B$32</definedName>
    <definedName name="K">Sheet1!$B$17</definedName>
    <definedName name="K_nominal">Sheet1!$H$30</definedName>
    <definedName name="K_th_E1">Sheet1!$H$42</definedName>
    <definedName name="K_th_E2">Sheet1!$H$54</definedName>
    <definedName name="K_u">Sheet1!$H$26</definedName>
    <definedName name="K_u_nominal">Sheet1!$H$26</definedName>
    <definedName name="K_u_th">Sheet1!$H$38</definedName>
    <definedName name="K_u_th_E1">Sheet1!$H$38</definedName>
    <definedName name="K_u_th_E2">Sheet1!$H$50</definedName>
    <definedName name="L">Sheet1!$B$20</definedName>
    <definedName name="Laser_P">Sheet1!$B$34</definedName>
    <definedName name="Laser_S">Sheet1!$B$36</definedName>
    <definedName name="Lt">Sheet1!$B$23</definedName>
    <definedName name="manu_nominal">Sheet1!$H$31</definedName>
    <definedName name="manu_th_E1">Sheet1!$H$43</definedName>
    <definedName name="manu_th_E2">Sheet1!$H$55</definedName>
    <definedName name="material">Sheet1!$B$3</definedName>
    <definedName name="N_L">Sheet1!$B$22</definedName>
    <definedName name="n_struts">Sheet1!#REF!</definedName>
    <definedName name="P_cons">Sheet1!$B$29</definedName>
    <definedName name="P_m">Sheet1!$B$31</definedName>
    <definedName name="r_1">Sheet1!$B$15</definedName>
    <definedName name="r_2">Sheet1!$B$16</definedName>
    <definedName name="rho">Sheet1!$B$6</definedName>
    <definedName name="rho_t">Sheet1!$H$16</definedName>
    <definedName name="sigma_y">Sheet1!#REF!</definedName>
    <definedName name="T_1">Sheet1!$B$40</definedName>
    <definedName name="T_2">Sheet1!$B$41</definedName>
    <definedName name="T_build">Sheet1!$H$25</definedName>
    <definedName name="T_build_E1">Sheet1!$H$37</definedName>
    <definedName name="T_build_E2">Sheet1!$H$49</definedName>
    <definedName name="T_build_nominal">Sheet1!$H$25</definedName>
    <definedName name="T_sink">Sheet1!$B$18</definedName>
    <definedName name="theta">Sheet1!$B$12</definedName>
    <definedName name="V_cham">Sheet1!$B$30</definedName>
    <definedName name="V_tot">Sheet1!$H$23</definedName>
    <definedName name="V_tot_th">Sheet1!$H$35</definedName>
    <definedName name="V_tot_th_E1">Sheet1!$H$35</definedName>
    <definedName name="V_tot_th_E2">Sheet1!$H$47</definedName>
    <definedName name="w">Sheet1!$B$2</definedName>
    <definedName name="W_mat">Sheet1!$H$24</definedName>
    <definedName name="W_mat_th_E1">Sheet1!$H$36</definedName>
    <definedName name="W_mat_th_E2">Sheet1!$H$48</definedName>
    <definedName name="w_nominal">Sheet1!$B$19</definedName>
    <definedName name="w_thresh">Sheet1!$H$14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1" l="1"/>
  <c r="B37" i="1" l="1"/>
  <c r="B20" i="1"/>
  <c r="B7" i="1"/>
  <c r="B6" i="1"/>
  <c r="H3" i="1"/>
  <c r="H24" i="1" l="1"/>
  <c r="H28" i="1" s="1"/>
  <c r="H45" i="1"/>
  <c r="H46" i="1"/>
  <c r="H47" i="1"/>
  <c r="H50" i="1" s="1"/>
  <c r="H30" i="1"/>
  <c r="H21" i="1"/>
  <c r="H23" i="1"/>
  <c r="H26" i="1" s="1"/>
  <c r="H22" i="1"/>
  <c r="H42" i="1"/>
  <c r="B22" i="1"/>
  <c r="Q2" i="1" a="1"/>
  <c r="Q2" i="1" s="1"/>
  <c r="B44" i="1"/>
  <c r="B45" i="1"/>
  <c r="L3" i="1"/>
  <c r="T3" i="1"/>
  <c r="H2" i="1"/>
  <c r="H6" i="1" a="1"/>
  <c r="H6" i="1" s="1"/>
  <c r="H14" i="1" s="1"/>
  <c r="H36" i="1" s="1"/>
  <c r="T5" i="1"/>
  <c r="L2" i="1"/>
  <c r="H25" i="1" l="1"/>
  <c r="H27" i="1" s="1"/>
  <c r="H49" i="1"/>
  <c r="H51" i="1" s="1"/>
  <c r="H40" i="1"/>
  <c r="L7" i="1"/>
  <c r="L14" i="1" s="1"/>
  <c r="H35" i="1"/>
  <c r="H38" i="1" s="1"/>
  <c r="Q6" i="1"/>
  <c r="Q3" i="1"/>
  <c r="Q7" i="1" s="1"/>
  <c r="T4" i="1"/>
  <c r="U4" i="1" s="1"/>
  <c r="W5" i="1" s="1"/>
  <c r="T2" i="1"/>
  <c r="U2" i="1" s="1"/>
  <c r="W2" i="1" s="1"/>
  <c r="H33" i="1"/>
  <c r="H34" i="1"/>
  <c r="L6" i="1"/>
  <c r="L13" i="1" s="1"/>
  <c r="H10" i="1"/>
  <c r="H7" i="1"/>
  <c r="H11" i="1" s="1"/>
  <c r="H15" i="1" s="1"/>
  <c r="H17" i="1" l="1"/>
  <c r="H18" i="1"/>
  <c r="H29" i="1"/>
  <c r="H31" i="1" s="1"/>
  <c r="L4" i="1" s="1"/>
  <c r="H37" i="1"/>
  <c r="X5" i="1"/>
  <c r="W4" i="1"/>
  <c r="W3" i="1"/>
  <c r="X2" i="1"/>
  <c r="Y2" i="1" s="1"/>
  <c r="X3" i="1"/>
  <c r="H16" i="1"/>
  <c r="H48" i="1" s="1"/>
  <c r="H52" i="1" s="1"/>
  <c r="X4" i="1"/>
  <c r="Y5" i="1"/>
  <c r="H54" i="1" l="1"/>
  <c r="H39" i="1"/>
  <c r="Y4" i="1"/>
  <c r="Y3" i="1"/>
  <c r="L10" i="1"/>
  <c r="L17" i="1" s="1"/>
  <c r="L9" i="1"/>
  <c r="L16" i="1" s="1"/>
  <c r="H53" i="1" l="1"/>
  <c r="H55" i="1" s="1"/>
  <c r="L11" i="1" s="1"/>
  <c r="L18" i="1" s="1"/>
  <c r="H41" i="1"/>
  <c r="H43" i="1" s="1"/>
  <c r="L8" i="1" s="1"/>
  <c r="L1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Khalil</author>
  </authors>
  <commentList>
    <comment ref="G1" authorId="0" shapeId="0" xr:uid="{1806E225-A16A-4266-A753-4F8C923EA1D7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First calculation to determine the frozen design (i.e., the decided values) </t>
        </r>
      </text>
    </comment>
    <comment ref="P1" authorId="0" shapeId="0" xr:uid="{50C0B77D-CBB5-41DC-924F-994321A28067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Khalil:
Calculating the new thresholds by propagating threshold design parameters rather than decided values</t>
        </r>
      </text>
    </comment>
    <comment ref="B2" authorId="0" shapeId="0" xr:uid="{A2AD9CD6-A7A9-462B-B00E-86A9DAF23D6F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choose increments of 5mm</t>
        </r>
      </text>
    </comment>
    <comment ref="H2" authorId="0" shapeId="0" xr:uid="{7CAD0C51-477B-4BD1-9911-A7A27B999EED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output of B2</t>
        </r>
      </text>
    </comment>
    <comment ref="L2" authorId="0" shapeId="0" xr:uid="{80D64543-AB0D-4556-AF17-499C89FAF5BA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output of B5</t>
        </r>
      </text>
    </comment>
    <comment ref="B3" authorId="0" shapeId="0" xr:uid="{911D1E9D-54F4-407A-9632-12D466DAAD9E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choose a material 1,2,3</t>
        </r>
      </text>
    </comment>
    <comment ref="L3" authorId="0" shapeId="0" xr:uid="{A65954FA-DAA8-4BDF-91F1-32DCCE5B1703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Output of B6</t>
        </r>
      </text>
    </comment>
    <comment ref="J5" authorId="0" shapeId="0" xr:uid="{DECDDA25-7AA9-4C70-B511-34C45A68A5E6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Threshold performances (without margins)</t>
        </r>
      </text>
    </comment>
    <comment ref="H6" authorId="0" shapeId="0" xr:uid="{D2A33D46-3A94-4A9A-8D92-1BE63AC29A8C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output of B1</t>
        </r>
      </text>
    </comment>
    <comment ref="H7" authorId="0" shapeId="0" xr:uid="{88EDC153-6B7D-4501-819E-0E0388DD82B1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output of B3</t>
        </r>
      </text>
    </comment>
    <comment ref="J12" authorId="0" shapeId="0" xr:uid="{56703695-FB3A-4592-9899-B7B5CE2719EF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Impact of each margin on each performance parameter</t>
        </r>
      </text>
    </comment>
    <comment ref="H14" authorId="0" shapeId="0" xr:uid="{A85EC4D9-E30B-499D-B21A-3B88A50E4335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output of B2-1</t>
        </r>
      </text>
    </comment>
    <comment ref="H16" authorId="0" shapeId="0" xr:uid="{7C294428-0359-491E-AE8D-756CE18E23F0}">
      <text>
        <r>
          <rPr>
            <b/>
            <sz val="9"/>
            <color indexed="81"/>
            <rFont val="Tahoma"/>
            <family val="2"/>
          </rPr>
          <t>Khalil:</t>
        </r>
        <r>
          <rPr>
            <sz val="9"/>
            <color indexed="81"/>
            <rFont val="Tahoma"/>
            <family val="2"/>
          </rPr>
          <t xml:space="preserve">
Outputs of B4-1 (interpolation)</t>
        </r>
      </text>
    </comment>
  </commentList>
</comments>
</file>

<file path=xl/sharedStrings.xml><?xml version="1.0" encoding="utf-8"?>
<sst xmlns="http://schemas.openxmlformats.org/spreadsheetml/2006/main" count="147" uniqueCount="97">
  <si>
    <t>w</t>
  </si>
  <si>
    <t>h</t>
  </si>
  <si>
    <t>theta</t>
  </si>
  <si>
    <t>alpha</t>
  </si>
  <si>
    <t>E</t>
  </si>
  <si>
    <t>rho</t>
  </si>
  <si>
    <t>K</t>
  </si>
  <si>
    <t>T_sink</t>
  </si>
  <si>
    <t>Specifications</t>
  </si>
  <si>
    <t>L</t>
  </si>
  <si>
    <t>r_1</t>
  </si>
  <si>
    <t>r_2</t>
  </si>
  <si>
    <t>T_1</t>
  </si>
  <si>
    <t>T_2</t>
  </si>
  <si>
    <t>DV_1</t>
  </si>
  <si>
    <t>DV_2</t>
  </si>
  <si>
    <t>decided values</t>
  </si>
  <si>
    <t>target thresholds</t>
  </si>
  <si>
    <t>TT_1</t>
  </si>
  <si>
    <t>TT_2</t>
  </si>
  <si>
    <t>Excess</t>
  </si>
  <si>
    <t>E_1</t>
  </si>
  <si>
    <t>E_2</t>
  </si>
  <si>
    <t>Spec limit</t>
  </si>
  <si>
    <t>S1_E1</t>
  </si>
  <si>
    <t>S1_E2</t>
  </si>
  <si>
    <t>S2_E1</t>
  </si>
  <si>
    <t>S2_E2</t>
  </si>
  <si>
    <t>Max/Min</t>
  </si>
  <si>
    <t>new target thresholds</t>
  </si>
  <si>
    <t>Absobption</t>
  </si>
  <si>
    <t>Deterioration</t>
  </si>
  <si>
    <t>Sign</t>
  </si>
  <si>
    <t>w_nominal</t>
  </si>
  <si>
    <t>Intermediate calculations</t>
  </si>
  <si>
    <t>sigma_a</t>
  </si>
  <si>
    <t>sigma_m</t>
  </si>
  <si>
    <t>threshold_design</t>
  </si>
  <si>
    <t>w_thresh</t>
  </si>
  <si>
    <t>material</t>
  </si>
  <si>
    <t>design parameteres</t>
  </si>
  <si>
    <t>fixed parameters</t>
  </si>
  <si>
    <t>rho_threshold</t>
  </si>
  <si>
    <t>c_threshold</t>
  </si>
  <si>
    <t>Materials</t>
  </si>
  <si>
    <t>c</t>
  </si>
  <si>
    <t>sigma_y</t>
  </si>
  <si>
    <t>sigma_y_threshold</t>
  </si>
  <si>
    <t>weight</t>
  </si>
  <si>
    <t>cost</t>
  </si>
  <si>
    <t>performance parameters</t>
  </si>
  <si>
    <t>Intermediate parameters</t>
  </si>
  <si>
    <t>threshold performance parameters</t>
  </si>
  <si>
    <t>Impact of excess on performance</t>
  </si>
  <si>
    <t>E1</t>
  </si>
  <si>
    <t>E2</t>
  </si>
  <si>
    <t>AM Build Time</t>
  </si>
  <si>
    <t>Fixed parameters - Manuf. Calc</t>
  </si>
  <si>
    <t>Lt</t>
  </si>
  <si>
    <t>a</t>
  </si>
  <si>
    <t>A_tot</t>
  </si>
  <si>
    <t>A_s</t>
  </si>
  <si>
    <t>C_mach</t>
  </si>
  <si>
    <t>C_inert</t>
  </si>
  <si>
    <t>G_cons</t>
  </si>
  <si>
    <t>C_energy</t>
  </si>
  <si>
    <t>P_cons</t>
  </si>
  <si>
    <t>V_cham</t>
  </si>
  <si>
    <t>V_tot</t>
  </si>
  <si>
    <t>P_m</t>
  </si>
  <si>
    <t>W_mat</t>
  </si>
  <si>
    <t>N_L</t>
  </si>
  <si>
    <t>C_exec</t>
  </si>
  <si>
    <t>K_u</t>
  </si>
  <si>
    <t>C_mat</t>
  </si>
  <si>
    <t>E_D</t>
  </si>
  <si>
    <t>hatch</t>
  </si>
  <si>
    <t>beta</t>
  </si>
  <si>
    <t>Laser_P</t>
  </si>
  <si>
    <t>Laser_S</t>
  </si>
  <si>
    <t>C_manufacturing</t>
  </si>
  <si>
    <t>Manufacturability</t>
  </si>
  <si>
    <t>AM build time</t>
  </si>
  <si>
    <t>ED_mat</t>
  </si>
  <si>
    <t>ED_thresh</t>
  </si>
  <si>
    <t>E1 Threshold Interm. Param-Manuf cal</t>
  </si>
  <si>
    <t>W_mat_th_E1</t>
  </si>
  <si>
    <t>V_tot_th_E1</t>
  </si>
  <si>
    <t>A_s_th_E1</t>
  </si>
  <si>
    <t>A_tot_th_E1</t>
  </si>
  <si>
    <t>E2 Threshold Interm. Param-Manuf cal</t>
  </si>
  <si>
    <t>A_tot_th_E2</t>
  </si>
  <si>
    <t>A_s_th_E2</t>
  </si>
  <si>
    <t>V_tot_th_E2</t>
  </si>
  <si>
    <t>W_mat_th_E2</t>
  </si>
  <si>
    <t>Manufacturability - nominal</t>
  </si>
  <si>
    <t>manufacturability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</si>
</sst>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7" xfId="0" applyBorder="1"/>
    <xf numFmtId="0" fontId="0" fillId="0" borderId="13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0" fillId="0" borderId="11" xfId="0" applyBorder="1"/>
    <xf numFmtId="11" fontId="0" fillId="0" borderId="13" xfId="0" applyNumberFormat="1" applyBorder="1"/>
    <xf numFmtId="11" fontId="0" fillId="0" borderId="11" xfId="0" applyNumberFormat="1" applyBorder="1"/>
    <xf numFmtId="11" fontId="0" fillId="0" borderId="12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0" xfId="0" applyNumberFormat="1" applyBorder="1"/>
    <xf numFmtId="11" fontId="0" fillId="0" borderId="9" xfId="0" applyNumberFormat="1" applyBorder="1"/>
    <xf numFmtId="0" fontId="0" fillId="0" borderId="10" xfId="0" applyBorder="1"/>
    <xf numFmtId="0" fontId="0" fillId="0" borderId="3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Fill="1" applyBorder="1"/>
    <xf numFmtId="0" fontId="0" fillId="0" borderId="11" xfId="0" applyFill="1" applyBorder="1"/>
    <xf numFmtId="0" fontId="0" fillId="0" borderId="12" xfId="0" applyFill="1" applyBorder="1"/>
    <xf numFmtId="0" fontId="4" fillId="0" borderId="3" xfId="0" applyFont="1" applyBorder="1"/>
    <xf numFmtId="0" fontId="4" fillId="0" borderId="5" xfId="0" applyFont="1" applyBorder="1"/>
    <xf numFmtId="0" fontId="0" fillId="0" borderId="7" xfId="0" applyFill="1" applyBorder="1"/>
    <xf numFmtId="0" fontId="4" fillId="0" borderId="1" xfId="0" applyFont="1" applyBorder="1" applyAlignment="1"/>
    <xf numFmtId="0" fontId="4" fillId="0" borderId="5" xfId="0" applyFont="1" applyBorder="1" applyAlignment="1"/>
    <xf numFmtId="0" fontId="0" fillId="0" borderId="1" xfId="0" applyBorder="1" applyAlignment="1"/>
    <xf numFmtId="0" fontId="0" fillId="0" borderId="3" xfId="0" applyBorder="1" applyAlignment="1"/>
    <xf numFmtId="0" fontId="4" fillId="0" borderId="3" xfId="0" applyFont="1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1047750</xdr:colOff>
          <xdr:row>27</xdr:row>
          <xdr:rowOff>85725</xdr:rowOff>
        </xdr:from>
        <xdr:to>
          <xdr:col>17</xdr:col>
          <xdr:colOff>123825</xdr:colOff>
          <xdr:row>47</xdr:row>
          <xdr:rowOff>114300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60DB-5D9B-4E41-8AB5-2C470177AC99}">
  <dimension ref="A1:Y55"/>
  <sheetViews>
    <sheetView tabSelected="1" zoomScale="115" zoomScaleNormal="115" workbookViewId="0">
      <selection activeCell="L25" sqref="L25"/>
    </sheetView>
  </sheetViews>
  <sheetFormatPr defaultColWidth="8.85546875" defaultRowHeight="15" x14ac:dyDescent="0.25"/>
  <cols>
    <col min="1" max="1" width="24" bestFit="1" customWidth="1"/>
    <col min="2" max="2" width="12.85546875" bestFit="1" customWidth="1"/>
    <col min="3" max="3" width="14.85546875" customWidth="1"/>
    <col min="4" max="4" width="16.7109375" customWidth="1"/>
    <col min="5" max="6" width="19" customWidth="1"/>
    <col min="7" max="7" width="21" customWidth="1"/>
    <col min="8" max="8" width="16.7109375" customWidth="1"/>
    <col min="10" max="10" width="12.28515625" bestFit="1" customWidth="1"/>
    <col min="11" max="11" width="16.85546875" bestFit="1" customWidth="1"/>
    <col min="12" max="12" width="20.7109375" customWidth="1"/>
    <col min="15" max="15" width="11.5703125" customWidth="1"/>
    <col min="16" max="16" width="5.5703125" bestFit="1" customWidth="1"/>
    <col min="17" max="17" width="13.140625" bestFit="1" customWidth="1"/>
    <col min="18" max="18" width="7.85546875" customWidth="1"/>
    <col min="19" max="19" width="6.140625" bestFit="1" customWidth="1"/>
    <col min="20" max="21" width="13.140625" bestFit="1" customWidth="1"/>
    <col min="22" max="22" width="20.7109375" bestFit="1" customWidth="1"/>
    <col min="23" max="25" width="13.140625" bestFit="1" customWidth="1"/>
  </cols>
  <sheetData>
    <row r="1" spans="1:25" x14ac:dyDescent="0.25">
      <c r="A1" s="46" t="s">
        <v>40</v>
      </c>
      <c r="B1" s="47"/>
      <c r="G1" s="46" t="s">
        <v>16</v>
      </c>
      <c r="H1" s="47"/>
      <c r="J1" s="46" t="s">
        <v>50</v>
      </c>
      <c r="K1" s="50"/>
      <c r="L1" s="47"/>
      <c r="P1" s="46" t="s">
        <v>17</v>
      </c>
      <c r="Q1" s="47"/>
      <c r="S1" s="46" t="s">
        <v>23</v>
      </c>
      <c r="T1" s="50"/>
      <c r="U1" s="13" t="s">
        <v>28</v>
      </c>
      <c r="V1" s="46" t="s">
        <v>29</v>
      </c>
      <c r="W1" s="47"/>
      <c r="X1" s="29" t="s">
        <v>31</v>
      </c>
      <c r="Y1" s="30" t="s">
        <v>30</v>
      </c>
    </row>
    <row r="2" spans="1:25" x14ac:dyDescent="0.25">
      <c r="A2" s="1" t="s">
        <v>0</v>
      </c>
      <c r="B2" s="11">
        <v>70</v>
      </c>
      <c r="G2" s="1" t="s">
        <v>14</v>
      </c>
      <c r="H2" s="11">
        <f>((PI()^2)*E*w*(h^3))/(12*(K*L)^2)</f>
        <v>366614.79000277672</v>
      </c>
      <c r="J2" s="54" t="s">
        <v>48</v>
      </c>
      <c r="K2" s="55"/>
      <c r="L2" s="11">
        <f>rho*w*h*L</f>
        <v>1.6500670742421315</v>
      </c>
      <c r="P2" s="1" t="s">
        <v>18</v>
      </c>
      <c r="Q2" s="11">
        <f t="array" ref="Q2">E*w_nominal*h*alpha*(T_2*r_2 - T_1*r_1-T_sink*(r_2-r_1))*COS(RADIANS(theta))/L</f>
        <v>348578.57735674939</v>
      </c>
      <c r="S2" s="1" t="s">
        <v>24</v>
      </c>
      <c r="T2" s="7">
        <f>-H2*L /(r_1 *E*w_nominal*h*alpha*COS(RADIANS(theta))) + ((T_2*r_2)/r_1) - (T_sink*(r_2-r_1)/r_1)</f>
        <v>439.94462194621377</v>
      </c>
      <c r="U2" s="16">
        <f>MAX(T2:T3)</f>
        <v>439.94462194621377</v>
      </c>
      <c r="V2" s="1" t="s">
        <v>18</v>
      </c>
      <c r="W2" s="2">
        <f>E*w_nominal*h*alpha*(T_2*r_2 - U2*r_1-T_sink*(r_2-r_1))*COS(RADIANS(theta))/L</f>
        <v>366614.79000277678</v>
      </c>
      <c r="X2" s="5">
        <f>MAX(C40*(U2-T_1)/T_1,0)</f>
        <v>2.2345284563969395E-2</v>
      </c>
      <c r="Y2" s="6">
        <f>IF(X2=0,0,ABS(W2-H6)/(H6*X2))</f>
        <v>2.3155745312789975</v>
      </c>
    </row>
    <row r="3" spans="1:25" x14ac:dyDescent="0.25">
      <c r="A3" s="3" t="s">
        <v>39</v>
      </c>
      <c r="B3" s="17">
        <v>2</v>
      </c>
      <c r="G3" s="3" t="s">
        <v>15</v>
      </c>
      <c r="H3" s="17">
        <f>LOOKUP(material,A48:A50,B48:B50)</f>
        <v>460</v>
      </c>
      <c r="J3" s="56" t="s">
        <v>49</v>
      </c>
      <c r="K3" s="57"/>
      <c r="L3" s="17">
        <f>rho*c_d*w*h*L</f>
        <v>0.75903085415138072</v>
      </c>
      <c r="P3" s="3" t="s">
        <v>19</v>
      </c>
      <c r="Q3" s="17">
        <f>MAX(B44:B45)</f>
        <v>387.30953039638825</v>
      </c>
      <c r="S3" s="1" t="s">
        <v>25</v>
      </c>
      <c r="T3" s="7">
        <f>-H3*L /(r_1  *E*alpha*COS(RADIANS(theta))) + ((T_2*r_2)/r_1) - (T_sink*(r_2-r_1)/r_1)</f>
        <v>413.52686950387516</v>
      </c>
      <c r="U3" s="14"/>
      <c r="V3" s="1" t="s">
        <v>19</v>
      </c>
      <c r="W3" s="2">
        <f>E*alpha*(T_2*r_2 - U2*r_1-T_sink*(r_2-r_1))*COS(RADIANS(theta))/L</f>
        <v>407.349766669752</v>
      </c>
      <c r="X3" s="5">
        <f>MAX(C40*(U2-T_1)/T_1,0)</f>
        <v>2.2345284563969395E-2</v>
      </c>
      <c r="Y3" s="6">
        <f>IF(X3=0,0,ABS(W3-H7)/(H7*X3))</f>
        <v>2.3155745312789953</v>
      </c>
    </row>
    <row r="4" spans="1:25" x14ac:dyDescent="0.25">
      <c r="A4" s="7"/>
      <c r="B4" s="7"/>
      <c r="G4" s="7"/>
      <c r="H4" s="7"/>
      <c r="J4" s="48" t="s">
        <v>96</v>
      </c>
      <c r="K4" s="49"/>
      <c r="L4" s="18">
        <f>manu_nominal</f>
        <v>274091.15756155062</v>
      </c>
      <c r="S4" s="1" t="s">
        <v>26</v>
      </c>
      <c r="T4" s="7">
        <f>H2*L /(r_2 *E*w_nominal*h*alpha*COS(RADIANS(theta))) + ((T_1*r_1)/r_2) + (T_sink*(r_2-r_1)/r_2)</f>
        <v>431.49429356129895</v>
      </c>
      <c r="U4" s="14">
        <f>MIN(T4:T5)</f>
        <v>431.49429356129895</v>
      </c>
      <c r="V4" s="1" t="s">
        <v>18</v>
      </c>
      <c r="W4" s="2">
        <f>E*w_nominal*h*alpha*(U4*r_2 - T_1*r_1-T_sink*(r_2-r_1))*COS(RADIANS(theta))/L</f>
        <v>366614.7900027766</v>
      </c>
      <c r="X4" s="5">
        <f>MAX(C41*(U4-T_2)/T_2,0)</f>
        <v>1.5280690732468108E-2</v>
      </c>
      <c r="Y4" s="6">
        <f>IF(X4=0,0,ABS(W4-H6)/(H6*X4))</f>
        <v>3.3861147206237221</v>
      </c>
    </row>
    <row r="5" spans="1:25" x14ac:dyDescent="0.25">
      <c r="A5" s="46" t="s">
        <v>51</v>
      </c>
      <c r="B5" s="47"/>
      <c r="G5" s="23" t="s">
        <v>17</v>
      </c>
      <c r="H5" s="24"/>
      <c r="J5" s="46" t="s">
        <v>52</v>
      </c>
      <c r="K5" s="50"/>
      <c r="L5" s="47"/>
      <c r="P5" s="12" t="s">
        <v>20</v>
      </c>
      <c r="Q5" s="13"/>
      <c r="S5" s="3" t="s">
        <v>27</v>
      </c>
      <c r="T5" s="8">
        <f>H3*L /(r_2 *E*alpha*COS(RADIANS(theta))) + ((T_1*r_1)/r_2) + (T_sink*(r_2-r_1)/r_2)</f>
        <v>448.55627160653728</v>
      </c>
      <c r="U5" s="15"/>
      <c r="V5" s="3" t="s">
        <v>19</v>
      </c>
      <c r="W5" s="4">
        <f>E*alpha*(U4*r_2 - T_1*r_1-T_sink*(r_2-r_1))*COS(RADIANS(theta))/L</f>
        <v>407.34976666975183</v>
      </c>
      <c r="X5" s="10">
        <f>MAX(C41*(U4-T_2)/T_2,0)</f>
        <v>1.5280690732468108E-2</v>
      </c>
      <c r="Y5" s="9">
        <f>IF(X5=0,0,ABS(W5-H7)/(H7*X5))</f>
        <v>3.3861147206237225</v>
      </c>
    </row>
    <row r="6" spans="1:25" x14ac:dyDescent="0.25">
      <c r="A6" s="11" t="s">
        <v>5</v>
      </c>
      <c r="B6" s="11">
        <f>LOOKUP(material,A48:A50,C48:C50)</f>
        <v>8.1899999999999995E-6</v>
      </c>
      <c r="G6" s="1" t="s">
        <v>18</v>
      </c>
      <c r="H6" s="11">
        <f t="array" ref="H6">E*w_nominal*h*alpha*(T_2*r_2 - T_1*r_1-T_sink*(r_2-r_1))*COS(RADIANS(theta))/L</f>
        <v>348578.57735674939</v>
      </c>
      <c r="J6" s="11" t="s">
        <v>54</v>
      </c>
      <c r="K6" s="1" t="s">
        <v>48</v>
      </c>
      <c r="L6" s="11">
        <f>rho*w_thresh*h*L</f>
        <v>1.568889332801275</v>
      </c>
      <c r="P6" s="1" t="s">
        <v>21</v>
      </c>
      <c r="Q6" s="11">
        <f>$H$2-Q2</f>
        <v>18036.212646027328</v>
      </c>
    </row>
    <row r="7" spans="1:25" x14ac:dyDescent="0.25">
      <c r="A7" s="19" t="s">
        <v>45</v>
      </c>
      <c r="B7" s="19">
        <f>LOOKUP(material,A48:A50,D48:D50)</f>
        <v>0.46</v>
      </c>
      <c r="G7" s="3" t="s">
        <v>19</v>
      </c>
      <c r="H7" s="17">
        <f>MAX(B44:B45)</f>
        <v>387.30953039638825</v>
      </c>
      <c r="J7" s="19" t="s">
        <v>54</v>
      </c>
      <c r="K7" s="1" t="s">
        <v>49</v>
      </c>
      <c r="L7" s="19">
        <f>rho*c_d*w_thresh*h*L</f>
        <v>0.72168909308858664</v>
      </c>
      <c r="P7" s="3" t="s">
        <v>22</v>
      </c>
      <c r="Q7" s="17">
        <f>$H$3-Q3</f>
        <v>72.690469603611746</v>
      </c>
    </row>
    <row r="8" spans="1:25" x14ac:dyDescent="0.25">
      <c r="A8" s="37" t="s">
        <v>83</v>
      </c>
      <c r="B8" s="17">
        <f>LOOKUP(material,A48:A50,E48:E50)</f>
        <v>144.80000000000001</v>
      </c>
      <c r="J8" s="19" t="s">
        <v>54</v>
      </c>
      <c r="K8" s="1" t="s">
        <v>96</v>
      </c>
      <c r="L8" s="19">
        <f>manu_th_E1</f>
        <v>262857.96773945272</v>
      </c>
    </row>
    <row r="9" spans="1:25" x14ac:dyDescent="0.25">
      <c r="G9" s="23" t="s">
        <v>20</v>
      </c>
      <c r="H9" s="24"/>
      <c r="J9" s="11" t="s">
        <v>55</v>
      </c>
      <c r="K9" s="5" t="s">
        <v>48</v>
      </c>
      <c r="L9" s="11">
        <f>rho_t*w*h*L</f>
        <v>1.7997027665947769</v>
      </c>
    </row>
    <row r="10" spans="1:25" x14ac:dyDescent="0.25">
      <c r="A10" s="46" t="s">
        <v>41</v>
      </c>
      <c r="B10" s="47"/>
      <c r="G10" s="1" t="s">
        <v>21</v>
      </c>
      <c r="H10" s="11">
        <f>$H$2-H6</f>
        <v>18036.212646027328</v>
      </c>
      <c r="J10" s="19" t="s">
        <v>55</v>
      </c>
      <c r="K10" s="1" t="s">
        <v>49</v>
      </c>
      <c r="L10" s="19">
        <f>rho_t*c_d_t*w*h*L</f>
        <v>0.60034807393673906</v>
      </c>
    </row>
    <row r="11" spans="1:25" x14ac:dyDescent="0.25">
      <c r="A11" s="1" t="s">
        <v>1</v>
      </c>
      <c r="B11" s="19">
        <v>15</v>
      </c>
      <c r="G11" s="3" t="s">
        <v>22</v>
      </c>
      <c r="H11" s="17">
        <f>$H$3-H7</f>
        <v>72.690469603611746</v>
      </c>
      <c r="J11" s="17" t="s">
        <v>55</v>
      </c>
      <c r="K11" s="3" t="s">
        <v>96</v>
      </c>
      <c r="L11" s="17">
        <f>manu_th_E2</f>
        <v>294240.9874568496</v>
      </c>
    </row>
    <row r="12" spans="1:25" x14ac:dyDescent="0.25">
      <c r="A12" s="3" t="s">
        <v>2</v>
      </c>
      <c r="B12" s="17">
        <v>10</v>
      </c>
      <c r="J12" s="51" t="s">
        <v>53</v>
      </c>
      <c r="K12" s="52"/>
      <c r="L12" s="53"/>
    </row>
    <row r="13" spans="1:25" x14ac:dyDescent="0.25">
      <c r="A13" s="5" t="s">
        <v>3</v>
      </c>
      <c r="B13" s="20">
        <v>7.17E-6</v>
      </c>
      <c r="G13" s="23" t="s">
        <v>37</v>
      </c>
      <c r="H13" s="24"/>
      <c r="J13" s="1" t="s">
        <v>54</v>
      </c>
      <c r="K13" s="1" t="s">
        <v>48</v>
      </c>
      <c r="L13" s="11">
        <f>(L2- L6)/L6</f>
        <v>5.1742171830509227E-2</v>
      </c>
    </row>
    <row r="14" spans="1:25" x14ac:dyDescent="0.25">
      <c r="A14" s="1" t="s">
        <v>4</v>
      </c>
      <c r="B14" s="21">
        <v>156300</v>
      </c>
      <c r="G14" s="5" t="s">
        <v>38</v>
      </c>
      <c r="H14" s="11">
        <f>H6 / (((PI()^2) * E * (h^3)) / (12 * ((K * L)^2)))</f>
        <v>66.556235810311009</v>
      </c>
      <c r="J14" s="1" t="s">
        <v>54</v>
      </c>
      <c r="K14" s="1" t="s">
        <v>49</v>
      </c>
      <c r="L14" s="19">
        <f t="shared" ref="L14:L15" si="0">(L3- L7)/L7</f>
        <v>5.1742171830509304E-2</v>
      </c>
    </row>
    <row r="15" spans="1:25" x14ac:dyDescent="0.25">
      <c r="A15" s="1" t="s">
        <v>10</v>
      </c>
      <c r="B15" s="21">
        <v>346.5</v>
      </c>
      <c r="G15" s="1" t="s">
        <v>47</v>
      </c>
      <c r="H15" s="19">
        <f>$H$3-H11</f>
        <v>387.30953039638825</v>
      </c>
      <c r="J15" s="3" t="s">
        <v>54</v>
      </c>
      <c r="K15" s="3" t="s">
        <v>96</v>
      </c>
      <c r="L15" s="19">
        <f t="shared" si="0"/>
        <v>4.2734827171882928E-2</v>
      </c>
    </row>
    <row r="16" spans="1:25" x14ac:dyDescent="0.25">
      <c r="A16" s="1" t="s">
        <v>11</v>
      </c>
      <c r="B16" s="21">
        <v>536.5</v>
      </c>
      <c r="G16" s="28" t="s">
        <v>42</v>
      </c>
      <c r="H16" s="19">
        <f>_xlfn.FORECAST.LINEAR($H$15,C49:C50,B49:B50)</f>
        <v>8.9327069720369022E-6</v>
      </c>
      <c r="J16" s="1" t="s">
        <v>55</v>
      </c>
      <c r="K16" s="5" t="s">
        <v>48</v>
      </c>
      <c r="L16" s="11">
        <f>(L2-L9)/L9</f>
        <v>-8.314466984777244E-2</v>
      </c>
    </row>
    <row r="17" spans="1:12" x14ac:dyDescent="0.25">
      <c r="A17" s="1" t="s">
        <v>6</v>
      </c>
      <c r="B17" s="21">
        <v>1.5</v>
      </c>
      <c r="G17" s="28" t="s">
        <v>43</v>
      </c>
      <c r="H17" s="19">
        <f>_xlfn.FORECAST.LINEAR($H$15,D49:D50,B49:B50)</f>
        <v>0.33358179199371873</v>
      </c>
      <c r="J17" s="1" t="s">
        <v>55</v>
      </c>
      <c r="K17" s="1" t="s">
        <v>49</v>
      </c>
      <c r="L17" s="19">
        <f t="shared" ref="L17:L18" si="1">(L3-L10)/L10</f>
        <v>0.26431796336763574</v>
      </c>
    </row>
    <row r="18" spans="1:12" x14ac:dyDescent="0.25">
      <c r="A18" s="1" t="s">
        <v>7</v>
      </c>
      <c r="B18" s="21">
        <v>25</v>
      </c>
      <c r="G18" s="3" t="s">
        <v>84</v>
      </c>
      <c r="H18" s="17">
        <f>_xlfn.FORECAST.LINEAR($H$15,E49:E50,B49:B50)</f>
        <v>134.8840718095073</v>
      </c>
      <c r="J18" s="3" t="s">
        <v>55</v>
      </c>
      <c r="K18" s="3" t="s">
        <v>96</v>
      </c>
      <c r="L18" s="17">
        <f t="shared" si="1"/>
        <v>-6.848070375733753E-2</v>
      </c>
    </row>
    <row r="19" spans="1:12" x14ac:dyDescent="0.25">
      <c r="A19" s="3" t="s">
        <v>33</v>
      </c>
      <c r="B19" s="22">
        <v>60</v>
      </c>
    </row>
    <row r="20" spans="1:12" x14ac:dyDescent="0.25">
      <c r="A20" s="18" t="s">
        <v>9</v>
      </c>
      <c r="B20" s="18">
        <f>-r_1*COS(RADIANS(theta)) + SQRT(r_2^2 - (r_1 * SIN(RADIANS(theta)))^2)</f>
        <v>191.87942022700526</v>
      </c>
      <c r="G20" s="46" t="s">
        <v>95</v>
      </c>
      <c r="H20" s="47"/>
    </row>
    <row r="21" spans="1:12" x14ac:dyDescent="0.25">
      <c r="A21" s="46" t="s">
        <v>57</v>
      </c>
      <c r="B21" s="47"/>
      <c r="G21" s="19" t="s">
        <v>60</v>
      </c>
      <c r="H21" s="19">
        <f>2*((w*h)+(L*h)+(L*w))</f>
        <v>34719.501438590894</v>
      </c>
      <c r="J21" s="7"/>
      <c r="K21" s="7"/>
      <c r="L21" s="7"/>
    </row>
    <row r="22" spans="1:12" x14ac:dyDescent="0.25">
      <c r="A22" s="18" t="s">
        <v>71</v>
      </c>
      <c r="B22" s="18">
        <f>L/(Lt)</f>
        <v>383.75884045401051</v>
      </c>
      <c r="G22" s="19" t="s">
        <v>61</v>
      </c>
      <c r="H22" s="19">
        <f>2*L*(h+w)</f>
        <v>32619.501438590894</v>
      </c>
    </row>
    <row r="23" spans="1:12" x14ac:dyDescent="0.25">
      <c r="A23" s="11" t="s">
        <v>58</v>
      </c>
      <c r="B23" s="35">
        <v>0.5</v>
      </c>
      <c r="G23" s="19" t="s">
        <v>68</v>
      </c>
      <c r="H23" s="19">
        <f>w*h*L</f>
        <v>201473.39123835551</v>
      </c>
    </row>
    <row r="24" spans="1:12" x14ac:dyDescent="0.25">
      <c r="A24" s="19" t="s">
        <v>59</v>
      </c>
      <c r="B24" s="19">
        <v>5.5599999999999996E-4</v>
      </c>
      <c r="G24" s="17" t="s">
        <v>70</v>
      </c>
      <c r="H24" s="17">
        <f>rho*w*h*L</f>
        <v>1.6500670742421315</v>
      </c>
    </row>
    <row r="25" spans="1:12" x14ac:dyDescent="0.25">
      <c r="A25" s="19" t="s">
        <v>62</v>
      </c>
      <c r="B25" s="19">
        <v>40</v>
      </c>
      <c r="G25" s="43" t="s">
        <v>56</v>
      </c>
      <c r="H25" s="11">
        <f>N_L*(A_tot+A_s)*a</f>
        <v>14368.117339780967</v>
      </c>
      <c r="J25" s="32"/>
      <c r="K25" s="32"/>
    </row>
    <row r="26" spans="1:12" x14ac:dyDescent="0.25">
      <c r="A26" s="19" t="s">
        <v>63</v>
      </c>
      <c r="B26" s="19">
        <v>5</v>
      </c>
      <c r="G26" s="44" t="s">
        <v>73</v>
      </c>
      <c r="H26" s="19">
        <f>V_tot/V_cham</f>
        <v>7.5741876405396808E-3</v>
      </c>
      <c r="J26" s="32"/>
      <c r="K26" s="32"/>
    </row>
    <row r="27" spans="1:12" x14ac:dyDescent="0.25">
      <c r="A27" s="19" t="s">
        <v>64</v>
      </c>
      <c r="B27" s="19">
        <v>100</v>
      </c>
      <c r="G27" s="44" t="s">
        <v>72</v>
      </c>
      <c r="H27" s="19">
        <f>T_build_nominal*(C_mach+(C_inert*G_cons)+(C_energy*P_cons*K_u_nominal))</f>
        <v>7791431.4085135609</v>
      </c>
      <c r="J27" s="32"/>
      <c r="K27" s="32"/>
    </row>
    <row r="28" spans="1:12" x14ac:dyDescent="0.25">
      <c r="A28" s="19" t="s">
        <v>65</v>
      </c>
      <c r="B28" s="19">
        <v>30</v>
      </c>
      <c r="G28" s="44" t="s">
        <v>74</v>
      </c>
      <c r="H28" s="19">
        <f>W_mat*P_m</f>
        <v>49.502012227263947</v>
      </c>
      <c r="J28" s="32"/>
      <c r="K28" s="32"/>
    </row>
    <row r="29" spans="1:12" x14ac:dyDescent="0.25">
      <c r="A29" s="36" t="s">
        <v>66</v>
      </c>
      <c r="B29" s="19">
        <v>10</v>
      </c>
      <c r="G29" s="45" t="s">
        <v>80</v>
      </c>
      <c r="H29" s="19">
        <f>C_exec_nominal+C_mat_nominal</f>
        <v>7791480.9105257886</v>
      </c>
      <c r="J29" s="32"/>
      <c r="K29" s="32"/>
    </row>
    <row r="30" spans="1:12" x14ac:dyDescent="0.25">
      <c r="A30" s="36" t="s">
        <v>67</v>
      </c>
      <c r="B30" s="36">
        <v>26600000</v>
      </c>
      <c r="G30" s="45" t="s">
        <v>6</v>
      </c>
      <c r="H30" s="19">
        <f>E_D/ED_mat</f>
        <v>3.5178313430925708E-2</v>
      </c>
      <c r="J30" s="32"/>
      <c r="K30" s="32"/>
    </row>
    <row r="31" spans="1:12" x14ac:dyDescent="0.25">
      <c r="A31" s="36" t="s">
        <v>69</v>
      </c>
      <c r="B31" s="36">
        <v>30</v>
      </c>
      <c r="G31" s="42" t="s">
        <v>81</v>
      </c>
      <c r="H31" s="17">
        <f>C_manufacturing*K_nominal</f>
        <v>274091.15756155062</v>
      </c>
      <c r="J31" s="32"/>
      <c r="K31" s="32"/>
    </row>
    <row r="32" spans="1:12" x14ac:dyDescent="0.25">
      <c r="A32" s="36" t="s">
        <v>76</v>
      </c>
      <c r="B32" s="36">
        <v>0.1</v>
      </c>
      <c r="G32" s="46" t="s">
        <v>85</v>
      </c>
      <c r="H32" s="47"/>
      <c r="J32" s="32"/>
      <c r="K32" s="32"/>
    </row>
    <row r="33" spans="1:12" x14ac:dyDescent="0.25">
      <c r="A33" s="36" t="s">
        <v>77</v>
      </c>
      <c r="B33" s="36">
        <v>0.18</v>
      </c>
      <c r="G33" s="1" t="s">
        <v>89</v>
      </c>
      <c r="H33" s="11">
        <f>2*((w_thresh*h)+(L*h)+(L*w_thresh))</f>
        <v>33294.613560668135</v>
      </c>
      <c r="J33" s="32"/>
      <c r="K33" s="32"/>
    </row>
    <row r="34" spans="1:12" x14ac:dyDescent="0.25">
      <c r="A34" s="36" t="s">
        <v>78</v>
      </c>
      <c r="B34" s="19">
        <v>155</v>
      </c>
      <c r="G34" s="1" t="s">
        <v>88</v>
      </c>
      <c r="H34" s="19">
        <f>2*L*(h+w_thresh)</f>
        <v>31297.9264863588</v>
      </c>
      <c r="J34" s="32"/>
      <c r="K34" s="32"/>
    </row>
    <row r="35" spans="1:12" x14ac:dyDescent="0.25">
      <c r="A35" s="36" t="s">
        <v>3</v>
      </c>
      <c r="B35" s="19">
        <v>5</v>
      </c>
      <c r="G35" s="1" t="s">
        <v>87</v>
      </c>
      <c r="H35" s="19">
        <f>w_thresh*h*L</f>
        <v>191561.57909661482</v>
      </c>
      <c r="J35" s="32"/>
      <c r="K35" s="32"/>
    </row>
    <row r="36" spans="1:12" x14ac:dyDescent="0.25">
      <c r="A36" s="36" t="s">
        <v>79</v>
      </c>
      <c r="B36" s="19">
        <v>300</v>
      </c>
      <c r="G36" s="3" t="s">
        <v>86</v>
      </c>
      <c r="H36" s="17">
        <f>rho*w_thresh*h*L</f>
        <v>1.568889332801275</v>
      </c>
      <c r="J36" s="32"/>
      <c r="K36" s="32"/>
    </row>
    <row r="37" spans="1:12" x14ac:dyDescent="0.25">
      <c r="A37" s="17" t="s">
        <v>75</v>
      </c>
      <c r="B37" s="17">
        <f>(beta*Laser_P)/(2*hatch*SQRT(alph*Laser_S*Lt))</f>
        <v>5.0938197847980433</v>
      </c>
      <c r="G37" s="5" t="s">
        <v>82</v>
      </c>
      <c r="H37" s="11">
        <f>N_L*(A_tot_th_E1+A_s_th_E1)*a</f>
        <v>13782.104798357019</v>
      </c>
    </row>
    <row r="38" spans="1:12" x14ac:dyDescent="0.25">
      <c r="G38" s="1" t="s">
        <v>73</v>
      </c>
      <c r="H38" s="19">
        <f>V_tot_th_E1/V_cham</f>
        <v>7.2015631239328876E-3</v>
      </c>
    </row>
    <row r="39" spans="1:12" x14ac:dyDescent="0.25">
      <c r="A39" s="33" t="s">
        <v>8</v>
      </c>
      <c r="B39" s="34"/>
      <c r="C39" s="11" t="s">
        <v>32</v>
      </c>
      <c r="G39" s="1" t="s">
        <v>72</v>
      </c>
      <c r="H39" s="19">
        <f>T_build_E1*(C_mach+(C_inert*G_cons)+(C_energy*P_cons*K_u_th_E1))</f>
        <v>7472112.4004185982</v>
      </c>
    </row>
    <row r="40" spans="1:12" x14ac:dyDescent="0.25">
      <c r="A40" s="5" t="s">
        <v>12</v>
      </c>
      <c r="B40" s="16">
        <v>450</v>
      </c>
      <c r="C40" s="11">
        <v>-1</v>
      </c>
      <c r="G40" s="1" t="s">
        <v>74</v>
      </c>
      <c r="H40" s="19">
        <f>W_mat_th_E1*P_m</f>
        <v>47.066679984038245</v>
      </c>
    </row>
    <row r="41" spans="1:12" x14ac:dyDescent="0.25">
      <c r="A41" s="3" t="s">
        <v>13</v>
      </c>
      <c r="B41" s="15">
        <v>425</v>
      </c>
      <c r="C41" s="17">
        <v>1</v>
      </c>
      <c r="G41" s="38" t="s">
        <v>80</v>
      </c>
      <c r="H41" s="19">
        <f>C_exec_E1+C_mat_E1</f>
        <v>7472159.4670985825</v>
      </c>
    </row>
    <row r="42" spans="1:12" x14ac:dyDescent="0.25">
      <c r="G42" s="39" t="s">
        <v>6</v>
      </c>
      <c r="H42" s="17">
        <f>E_D/ED_mat</f>
        <v>3.5178313430925708E-2</v>
      </c>
    </row>
    <row r="43" spans="1:12" x14ac:dyDescent="0.25">
      <c r="A43" s="33" t="s">
        <v>34</v>
      </c>
      <c r="B43" s="34"/>
      <c r="D43" s="7"/>
      <c r="E43" s="7"/>
      <c r="F43" s="7"/>
      <c r="G43" s="41" t="s">
        <v>81</v>
      </c>
      <c r="H43" s="18">
        <f>C_manufacturing_th_E1*K_th_E1</f>
        <v>262857.96773945272</v>
      </c>
      <c r="J43" s="58"/>
      <c r="K43" s="58"/>
      <c r="L43" s="58"/>
    </row>
    <row r="44" spans="1:12" ht="17.25" customHeight="1" x14ac:dyDescent="0.25">
      <c r="A44" s="11" t="s">
        <v>35</v>
      </c>
      <c r="B44" s="11">
        <f>E*alpha*(T_2*r_2 - T_1*r_1-T_sink*(r_2-r_1))*COS(RADIANS(theta))/L</f>
        <v>387.30953039638825</v>
      </c>
      <c r="D44" s="7"/>
      <c r="E44" s="7"/>
      <c r="F44" s="7"/>
      <c r="G44" s="46" t="s">
        <v>90</v>
      </c>
      <c r="H44" s="47"/>
      <c r="J44" s="58"/>
      <c r="K44" s="58"/>
    </row>
    <row r="45" spans="1:12" ht="17.25" customHeight="1" x14ac:dyDescent="0.25">
      <c r="A45" s="17" t="s">
        <v>36</v>
      </c>
      <c r="B45" s="17">
        <f>1.5*E*h*alpha*(T_2*r_2 - T_1*r_1-T_sink*(r_2-r_1))*SIN(RADIANS(theta))/(L^2)</f>
        <v>8.0081292736151966</v>
      </c>
      <c r="D45" s="7"/>
      <c r="E45" s="7"/>
      <c r="F45" s="7"/>
      <c r="G45" s="1" t="s">
        <v>91</v>
      </c>
      <c r="H45" s="11">
        <f>2*((w*h)+(L*h)+(L*w))</f>
        <v>34719.501438590894</v>
      </c>
      <c r="J45" s="32"/>
      <c r="K45" s="32"/>
    </row>
    <row r="46" spans="1:12" ht="17.25" customHeight="1" x14ac:dyDescent="0.25">
      <c r="D46" s="7"/>
      <c r="E46" s="7"/>
      <c r="F46" s="7"/>
      <c r="G46" s="1" t="s">
        <v>92</v>
      </c>
      <c r="H46" s="19">
        <f>2*L*(h+w)</f>
        <v>32619.501438590894</v>
      </c>
      <c r="J46" s="32"/>
      <c r="K46" s="32"/>
    </row>
    <row r="47" spans="1:12" ht="17.25" customHeight="1" x14ac:dyDescent="0.25">
      <c r="A47" s="10" t="s">
        <v>44</v>
      </c>
      <c r="B47" s="10" t="s">
        <v>46</v>
      </c>
      <c r="C47" s="27" t="s">
        <v>5</v>
      </c>
      <c r="D47" s="9" t="s">
        <v>45</v>
      </c>
      <c r="E47" s="40" t="s">
        <v>83</v>
      </c>
      <c r="F47" s="28"/>
      <c r="G47" s="1" t="s">
        <v>93</v>
      </c>
      <c r="H47" s="19">
        <f>w*h*L</f>
        <v>201473.39123835551</v>
      </c>
      <c r="J47" s="32"/>
      <c r="K47" s="32"/>
    </row>
    <row r="48" spans="1:12" ht="17.25" customHeight="1" x14ac:dyDescent="0.25">
      <c r="A48" s="1">
        <v>1</v>
      </c>
      <c r="B48" s="1">
        <v>92</v>
      </c>
      <c r="C48" s="25">
        <v>1.1950000000000001E-5</v>
      </c>
      <c r="D48" s="2">
        <v>-0.18000000000000005</v>
      </c>
      <c r="E48" s="5">
        <v>94.600000000000023</v>
      </c>
      <c r="F48" s="1"/>
      <c r="G48" s="3" t="s">
        <v>94</v>
      </c>
      <c r="H48" s="17">
        <f>rho_t*w*h*L</f>
        <v>1.7997027665947769</v>
      </c>
      <c r="J48" s="32"/>
      <c r="K48" s="32"/>
    </row>
    <row r="49" spans="1:12" x14ac:dyDescent="0.25">
      <c r="A49" s="1">
        <v>2</v>
      </c>
      <c r="B49" s="1">
        <v>460</v>
      </c>
      <c r="C49" s="25">
        <v>8.1899999999999995E-6</v>
      </c>
      <c r="D49" s="2">
        <v>0.46</v>
      </c>
      <c r="E49" s="28">
        <v>144.80000000000001</v>
      </c>
      <c r="F49" s="28"/>
      <c r="G49" s="5" t="s">
        <v>82</v>
      </c>
      <c r="H49" s="11">
        <f>N_L*(A_tot_th_E2+A_s_th_E2)*a</f>
        <v>14368.117339780967</v>
      </c>
      <c r="J49" s="32"/>
      <c r="K49" s="32"/>
    </row>
    <row r="50" spans="1:12" x14ac:dyDescent="0.25">
      <c r="A50" s="3">
        <v>3</v>
      </c>
      <c r="B50" s="3">
        <v>828</v>
      </c>
      <c r="C50" s="26">
        <v>4.4299999999999999E-6</v>
      </c>
      <c r="D50" s="4">
        <v>1.1000000000000001</v>
      </c>
      <c r="E50" s="3">
        <v>195</v>
      </c>
      <c r="F50" s="19"/>
      <c r="G50" s="1" t="s">
        <v>73</v>
      </c>
      <c r="H50" s="19">
        <f>V_tot_th_E2/V_cham</f>
        <v>7.5741876405396808E-3</v>
      </c>
    </row>
    <row r="51" spans="1:12" x14ac:dyDescent="0.25">
      <c r="D51" s="7"/>
      <c r="E51" s="7"/>
      <c r="G51" s="1" t="s">
        <v>72</v>
      </c>
      <c r="H51" s="19">
        <f>T_build_E2*(C_mach+(C_inert*G_cons)+(C_energy*P_cons*K_u_th_E2))</f>
        <v>7791431.4085135609</v>
      </c>
      <c r="J51" s="58"/>
      <c r="K51" s="58"/>
      <c r="L51" s="58"/>
    </row>
    <row r="52" spans="1:12" x14ac:dyDescent="0.25">
      <c r="G52" s="1" t="s">
        <v>74</v>
      </c>
      <c r="H52" s="19">
        <f>W_mat_th_E2*P_m</f>
        <v>53.991082997843307</v>
      </c>
      <c r="J52" s="31"/>
    </row>
    <row r="53" spans="1:12" x14ac:dyDescent="0.25">
      <c r="G53" s="38" t="s">
        <v>80</v>
      </c>
      <c r="H53" s="19">
        <f>C_exec_E2+C_mat_E2</f>
        <v>7791485.3995965589</v>
      </c>
    </row>
    <row r="54" spans="1:12" x14ac:dyDescent="0.25">
      <c r="G54" s="39" t="s">
        <v>6</v>
      </c>
      <c r="H54" s="17">
        <f>E_D/ED_thresh</f>
        <v>3.7764427752387926E-2</v>
      </c>
    </row>
    <row r="55" spans="1:12" x14ac:dyDescent="0.25">
      <c r="G55" s="42" t="s">
        <v>81</v>
      </c>
      <c r="H55" s="18">
        <f>C_manufacturing_th_E2*K_th_E2</f>
        <v>294240.9874568496</v>
      </c>
      <c r="J55" s="58"/>
      <c r="K55" s="58"/>
      <c r="L55" s="58"/>
    </row>
  </sheetData>
  <mergeCells count="21">
    <mergeCell ref="J55:L55"/>
    <mergeCell ref="A10:B10"/>
    <mergeCell ref="S1:T1"/>
    <mergeCell ref="G1:H1"/>
    <mergeCell ref="P1:Q1"/>
    <mergeCell ref="A1:B1"/>
    <mergeCell ref="J1:L1"/>
    <mergeCell ref="A5:B5"/>
    <mergeCell ref="J43:L43"/>
    <mergeCell ref="J44:K44"/>
    <mergeCell ref="J51:L51"/>
    <mergeCell ref="A21:B21"/>
    <mergeCell ref="G20:H20"/>
    <mergeCell ref="G32:H32"/>
    <mergeCell ref="G44:H44"/>
    <mergeCell ref="J4:K4"/>
    <mergeCell ref="V1:W1"/>
    <mergeCell ref="J5:L5"/>
    <mergeCell ref="J12:L12"/>
    <mergeCell ref="J2:K2"/>
    <mergeCell ref="J3:K3"/>
  </mergeCells>
  <phoneticPr fontId="1" type="noConversion"/>
  <pageMargins left="0.7" right="0.7" top="0.75" bottom="0.75" header="0.3" footer="0.3"/>
  <pageSetup orientation="portrait" horizontalDpi="4294967295" verticalDpi="4294967295" r:id="rId1"/>
  <drawing r:id="rId2"/>
  <legacyDrawing r:id="rId3"/>
  <oleObjects>
    <mc:AlternateContent xmlns:mc="http://schemas.openxmlformats.org/markup-compatibility/2006">
      <mc:Choice Requires="x14">
        <oleObject progId="Visio.Drawing.15" shapeId="1045" r:id="rId4">
          <objectPr defaultSize="0" autoPict="0" r:id="rId5">
            <anchor moveWithCells="1">
              <from>
                <xdr:col>10</xdr:col>
                <xdr:colOff>1047750</xdr:colOff>
                <xdr:row>27</xdr:row>
                <xdr:rowOff>85725</xdr:rowOff>
              </from>
              <to>
                <xdr:col>17</xdr:col>
                <xdr:colOff>123825</xdr:colOff>
                <xdr:row>47</xdr:row>
                <xdr:rowOff>114300</xdr:rowOff>
              </to>
            </anchor>
          </objectPr>
        </oleObject>
      </mc:Choice>
      <mc:Fallback>
        <oleObject progId="Visio.Drawing.15" shapeId="10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80</vt:i4>
      </vt:variant>
    </vt:vector>
  </HeadingPairs>
  <TitlesOfParts>
    <vt:vector size="81" baseType="lpstr">
      <vt:lpstr>Sheet1</vt:lpstr>
      <vt:lpstr>a</vt:lpstr>
      <vt:lpstr>A_s</vt:lpstr>
      <vt:lpstr>A_s_th</vt:lpstr>
      <vt:lpstr>A_s_th_E1</vt:lpstr>
      <vt:lpstr>A_s_th_E2</vt:lpstr>
      <vt:lpstr>A_tot</vt:lpstr>
      <vt:lpstr>A_tot_th</vt:lpstr>
      <vt:lpstr>A_tot_th_E1</vt:lpstr>
      <vt:lpstr>A_tot_th_E2</vt:lpstr>
      <vt:lpstr>A_x</vt:lpstr>
      <vt:lpstr>alph</vt:lpstr>
      <vt:lpstr>alpha</vt:lpstr>
      <vt:lpstr>beta</vt:lpstr>
      <vt:lpstr>c_d</vt:lpstr>
      <vt:lpstr>c_d_t</vt:lpstr>
      <vt:lpstr>C_energy</vt:lpstr>
      <vt:lpstr>C_exec</vt:lpstr>
      <vt:lpstr>C_exec_E1</vt:lpstr>
      <vt:lpstr>C_exec_E2</vt:lpstr>
      <vt:lpstr>C_exec_nominal</vt:lpstr>
      <vt:lpstr>C_inert</vt:lpstr>
      <vt:lpstr>C_mach</vt:lpstr>
      <vt:lpstr>C_manufacturing</vt:lpstr>
      <vt:lpstr>C_manufacturing_nominal</vt:lpstr>
      <vt:lpstr>C_manufacturing_th_E1</vt:lpstr>
      <vt:lpstr>C_manufacturing_th_E2</vt:lpstr>
      <vt:lpstr>C_mat</vt:lpstr>
      <vt:lpstr>C_mat_E1</vt:lpstr>
      <vt:lpstr>C_mat_E2</vt:lpstr>
      <vt:lpstr>C_mat_nominal</vt:lpstr>
      <vt:lpstr>E</vt:lpstr>
      <vt:lpstr>E_D</vt:lpstr>
      <vt:lpstr>ED_mat</vt:lpstr>
      <vt:lpstr>ED_thresh</vt:lpstr>
      <vt:lpstr>G_cons</vt:lpstr>
      <vt:lpstr>h</vt:lpstr>
      <vt:lpstr>hatch</vt:lpstr>
      <vt:lpstr>K</vt:lpstr>
      <vt:lpstr>K_nominal</vt:lpstr>
      <vt:lpstr>K_th_E1</vt:lpstr>
      <vt:lpstr>K_th_E2</vt:lpstr>
      <vt:lpstr>K_u</vt:lpstr>
      <vt:lpstr>K_u_nominal</vt:lpstr>
      <vt:lpstr>K_u_th</vt:lpstr>
      <vt:lpstr>K_u_th_E1</vt:lpstr>
      <vt:lpstr>K_u_th_E2</vt:lpstr>
      <vt:lpstr>L</vt:lpstr>
      <vt:lpstr>Laser_P</vt:lpstr>
      <vt:lpstr>Laser_S</vt:lpstr>
      <vt:lpstr>Lt</vt:lpstr>
      <vt:lpstr>manu_nominal</vt:lpstr>
      <vt:lpstr>manu_th_E1</vt:lpstr>
      <vt:lpstr>manu_th_E2</vt:lpstr>
      <vt:lpstr>material</vt:lpstr>
      <vt:lpstr>N_L</vt:lpstr>
      <vt:lpstr>P_cons</vt:lpstr>
      <vt:lpstr>P_m</vt:lpstr>
      <vt:lpstr>r_1</vt:lpstr>
      <vt:lpstr>r_2</vt:lpstr>
      <vt:lpstr>rho</vt:lpstr>
      <vt:lpstr>rho_t</vt:lpstr>
      <vt:lpstr>T_1</vt:lpstr>
      <vt:lpstr>T_2</vt:lpstr>
      <vt:lpstr>T_build</vt:lpstr>
      <vt:lpstr>T_build_E1</vt:lpstr>
      <vt:lpstr>T_build_E2</vt:lpstr>
      <vt:lpstr>T_build_nominal</vt:lpstr>
      <vt:lpstr>T_sink</vt:lpstr>
      <vt:lpstr>theta</vt:lpstr>
      <vt:lpstr>V_cham</vt:lpstr>
      <vt:lpstr>V_tot</vt:lpstr>
      <vt:lpstr>V_tot_th</vt:lpstr>
      <vt:lpstr>V_tot_th_E1</vt:lpstr>
      <vt:lpstr>V_tot_th_E2</vt:lpstr>
      <vt:lpstr>w</vt:lpstr>
      <vt:lpstr>W_mat</vt:lpstr>
      <vt:lpstr>W_mat_th_E1</vt:lpstr>
      <vt:lpstr>W_mat_th_E2</vt:lpstr>
      <vt:lpstr>w_nominal</vt:lpstr>
      <vt:lpstr>w_thresh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</dc:creator>
  <cp:lastModifiedBy>Khalil</cp:lastModifiedBy>
  <dcterms:created xsi:type="dcterms:W3CDTF">2022-01-03T20:16:17Z</dcterms:created>
  <dcterms:modified xsi:type="dcterms:W3CDTF">2022-06-15T03:17:43Z</dcterms:modified>
</cp:coreProperties>
</file>