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\Desktop\ICoRD\"/>
    </mc:Choice>
  </mc:AlternateContent>
  <xr:revisionPtr revIDLastSave="0" documentId="13_ncr:1_{832C3C43-7006-456B-A99C-507077AAC060}" xr6:coauthVersionLast="45" xr6:coauthVersionMax="45" xr10:uidLastSave="{00000000-0000-0000-0000-000000000000}"/>
  <bookViews>
    <workbookView xWindow="-110" yWindow="-110" windowWidth="19420" windowHeight="10420" xr2:uid="{B5415E72-B440-4834-A6A2-FFD4E11C21FF}"/>
  </bookViews>
  <sheets>
    <sheet name="Sheet1" sheetId="1" r:id="rId1"/>
  </sheets>
  <definedNames>
    <definedName name="a">Sheet1!$G$24</definedName>
    <definedName name="A_s">Sheet1!$G$41</definedName>
    <definedName name="A_s_th">Sheet1!$G$47</definedName>
    <definedName name="A_tot">Sheet1!$G$40</definedName>
    <definedName name="A_tot_th">Sheet1!$G$46</definedName>
    <definedName name="A_x">Sheet1!$G$46</definedName>
    <definedName name="alph">Sheet1!$G$35</definedName>
    <definedName name="alpha">Sheet1!$B$12</definedName>
    <definedName name="B_X">Sheet1!#REF!</definedName>
    <definedName name="B_Y">Sheet1!#REF!</definedName>
    <definedName name="beta">Sheet1!$G$33</definedName>
    <definedName name="c_d">Sheet1!$B$7</definedName>
    <definedName name="c_d_t">Sheet1!$G$17</definedName>
    <definedName name="C_energy">Sheet1!$G$28</definedName>
    <definedName name="C_exec">Sheet1!$K$18</definedName>
    <definedName name="C_exec_E1">Sheet1!$G$52</definedName>
    <definedName name="C_inert">Sheet1!$G$26</definedName>
    <definedName name="C_mach">Sheet1!$G$25</definedName>
    <definedName name="C_mat">Sheet1!$K$19</definedName>
    <definedName name="C_mat_E1">Sheet1!$G$53</definedName>
    <definedName name="C_mat_E2">Sheet1!$G$57</definedName>
    <definedName name="E">Sheet1!$B$13</definedName>
    <definedName name="E_D">Sheet1!$G$37</definedName>
    <definedName name="ED_thresh">Sheet1!$E$34</definedName>
    <definedName name="G_cons">Sheet1!$G$27</definedName>
    <definedName name="h">Sheet1!$B$10</definedName>
    <definedName name="hatch">Sheet1!$G$32</definedName>
    <definedName name="K">Sheet1!$B$16</definedName>
    <definedName name="K_u">Sheet1!$K$17</definedName>
    <definedName name="K_u_th">Sheet1!$G$51</definedName>
    <definedName name="L">Sheet1!$B$19</definedName>
    <definedName name="Laser_P">Sheet1!$G$34</definedName>
    <definedName name="Laser_S">Sheet1!$G$36</definedName>
    <definedName name="Lt">Sheet1!$G$23</definedName>
    <definedName name="material">Sheet1!$B$3</definedName>
    <definedName name="N_L">Sheet1!$G$44</definedName>
    <definedName name="n_struts">Sheet1!#REF!</definedName>
    <definedName name="P_cons">Sheet1!$G$29</definedName>
    <definedName name="P_m">Sheet1!$G$31</definedName>
    <definedName name="r_1">Sheet1!$B$14</definedName>
    <definedName name="r_2">Sheet1!$B$15</definedName>
    <definedName name="rho">Sheet1!$B$6</definedName>
    <definedName name="rho_t">Sheet1!$G$16</definedName>
    <definedName name="sigma_y">Sheet1!#REF!</definedName>
    <definedName name="T_1">Sheet1!$B$22</definedName>
    <definedName name="T_2">Sheet1!$B$23</definedName>
    <definedName name="T_build">Sheet1!$K$16</definedName>
    <definedName name="T_build_E1">Sheet1!$G$50</definedName>
    <definedName name="T_sink">Sheet1!$B$17</definedName>
    <definedName name="theta">Sheet1!$B$11</definedName>
    <definedName name="V_cham">Sheet1!$G$30</definedName>
    <definedName name="V_tot">Sheet1!$G$42</definedName>
    <definedName name="V_tot_th">Sheet1!$G$48</definedName>
    <definedName name="w">Sheet1!$B$2</definedName>
    <definedName name="W_mat">Sheet1!$G$43</definedName>
    <definedName name="w_nominal">Sheet1!$B$18</definedName>
    <definedName name="w_thresh">Sheet1!$G$14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5" i="1" l="1"/>
  <c r="K34" i="1"/>
  <c r="K31" i="1"/>
  <c r="G59" i="1"/>
  <c r="E34" i="1"/>
  <c r="G55" i="1" l="1"/>
  <c r="K30" i="1" s="1"/>
  <c r="G58" i="1"/>
  <c r="G57" i="1"/>
  <c r="G53" i="1"/>
  <c r="K21" i="1"/>
  <c r="G54" i="1"/>
  <c r="K19" i="1"/>
  <c r="G52" i="1"/>
  <c r="K18" i="1"/>
  <c r="G51" i="1"/>
  <c r="K17" i="1"/>
  <c r="G50" i="1"/>
  <c r="K16" i="1"/>
  <c r="G48" i="1"/>
  <c r="G42" i="1"/>
  <c r="G47" i="1"/>
  <c r="G41" i="1"/>
  <c r="G46" i="1"/>
  <c r="G40" i="1"/>
  <c r="G37" i="1" l="1"/>
  <c r="B19" i="1"/>
  <c r="B7" i="1"/>
  <c r="K3" i="1" s="1"/>
  <c r="B6" i="1"/>
  <c r="S3" i="1"/>
  <c r="G3" i="1"/>
  <c r="P2" i="1" a="1"/>
  <c r="P2" i="1" s="1"/>
  <c r="G44" i="1" l="1"/>
  <c r="G2" i="1"/>
  <c r="P6" i="1" s="1"/>
  <c r="G6" i="1" a="1"/>
  <c r="G6" i="1" s="1"/>
  <c r="G14" i="1" s="1"/>
  <c r="B26" i="1"/>
  <c r="P3" i="1" s="1"/>
  <c r="S5" i="1"/>
  <c r="B27" i="1"/>
  <c r="K6" i="1"/>
  <c r="K11" i="1" s="1"/>
  <c r="S2" i="1"/>
  <c r="T2" i="1" s="1"/>
  <c r="S4" i="1"/>
  <c r="T4" i="1" s="1"/>
  <c r="G10" i="1"/>
  <c r="K2" i="1"/>
  <c r="G43" i="1" s="1"/>
  <c r="K5" i="1"/>
  <c r="K10" i="1" s="1"/>
  <c r="P7" i="1"/>
  <c r="G7" i="1" l="1"/>
  <c r="G11" i="1" s="1"/>
  <c r="G15" i="1" s="1"/>
  <c r="K20" i="1"/>
  <c r="K23" i="1" s="1"/>
  <c r="W3" i="1"/>
  <c r="X3" i="1" s="1"/>
  <c r="V2" i="1"/>
  <c r="W2" i="1"/>
  <c r="V3" i="1"/>
  <c r="V4" i="1"/>
  <c r="W5" i="1"/>
  <c r="V5" i="1"/>
  <c r="W4" i="1"/>
  <c r="K27" i="1" l="1"/>
  <c r="G16" i="1"/>
  <c r="G17" i="1"/>
  <c r="X5" i="1"/>
  <c r="X4" i="1"/>
  <c r="X2" i="1"/>
  <c r="K8" i="1" l="1"/>
  <c r="K13" i="1" s="1"/>
  <c r="K7" i="1"/>
  <c r="K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Khalil</author>
  </authors>
  <commentList>
    <comment ref="F1" authorId="0" shapeId="0" xr:uid="{1806E225-A16A-4266-A753-4F8C923EA1D7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First calculation to determine the frozen design (i.e., the decided values) </t>
        </r>
      </text>
    </comment>
    <comment ref="O1" authorId="0" shapeId="0" xr:uid="{50C0B77D-CBB5-41DC-924F-994321A28067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Khalil:
Calculating the new thresholds by propagating threshold design parameters rather than decided values</t>
        </r>
      </text>
    </comment>
    <comment ref="B2" authorId="0" shapeId="0" xr:uid="{A2AD9CD6-A7A9-462B-B00E-86A9DAF23D6F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choose increments of 5mm</t>
        </r>
      </text>
    </comment>
    <comment ref="G2" authorId="0" shapeId="0" xr:uid="{7CAD0C51-477B-4BD1-9911-A7A27B999EED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output of B2</t>
        </r>
      </text>
    </comment>
    <comment ref="K2" authorId="0" shapeId="0" xr:uid="{80D64543-AB0D-4556-AF17-499C89FAF5BA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output of B5</t>
        </r>
      </text>
    </comment>
    <comment ref="B3" authorId="0" shapeId="0" xr:uid="{911D1E9D-54F4-407A-9632-12D466DAAD9E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choose a material 1,2,3</t>
        </r>
      </text>
    </comment>
    <comment ref="K3" authorId="0" shapeId="0" xr:uid="{A65954FA-DAA8-4BDF-91F1-32DCCE5B1703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Output of B6</t>
        </r>
      </text>
    </comment>
    <comment ref="I4" authorId="0" shapeId="0" xr:uid="{DECDDA25-7AA9-4C70-B511-34C45A68A5E6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Threshold performances (without margins)</t>
        </r>
      </text>
    </comment>
    <comment ref="G6" authorId="0" shapeId="0" xr:uid="{D2A33D46-3A94-4A9A-8D92-1BE63AC29A8C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output of B1</t>
        </r>
      </text>
    </comment>
    <comment ref="G7" authorId="0" shapeId="0" xr:uid="{88EDC153-6B7D-4501-819E-0E0388DD82B1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output of B3</t>
        </r>
      </text>
    </comment>
    <comment ref="I9" authorId="0" shapeId="0" xr:uid="{56703695-FB3A-4592-9899-B7B5CE2719EF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Impact of each margin on each performance parameter</t>
        </r>
      </text>
    </comment>
    <comment ref="G14" authorId="0" shapeId="0" xr:uid="{A85EC4D9-E30B-499D-B21A-3B88A50E4335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output of B2-1</t>
        </r>
      </text>
    </comment>
    <comment ref="G16" authorId="0" shapeId="0" xr:uid="{7C294428-0359-491E-AE8D-756CE18E23F0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Outputs of B4-1 (interpolation)</t>
        </r>
      </text>
    </comment>
  </commentList>
</comments>
</file>

<file path=xl/sharedStrings.xml><?xml version="1.0" encoding="utf-8"?>
<sst xmlns="http://schemas.openxmlformats.org/spreadsheetml/2006/main" count="140" uniqueCount="95">
  <si>
    <t>w</t>
  </si>
  <si>
    <t>h</t>
  </si>
  <si>
    <t>theta</t>
  </si>
  <si>
    <t>alpha</t>
  </si>
  <si>
    <t>E</t>
  </si>
  <si>
    <t>rho</t>
  </si>
  <si>
    <t>K</t>
  </si>
  <si>
    <t>T_sink</t>
  </si>
  <si>
    <t>Specifications</t>
  </si>
  <si>
    <t>L</t>
  </si>
  <si>
    <t>r_1</t>
  </si>
  <si>
    <t>r_2</t>
  </si>
  <si>
    <t>T_1</t>
  </si>
  <si>
    <t>T_2</t>
  </si>
  <si>
    <t>DV_1</t>
  </si>
  <si>
    <t>DV_2</t>
  </si>
  <si>
    <t>decided values</t>
  </si>
  <si>
    <t>target thresholds</t>
  </si>
  <si>
    <t>TT_1</t>
  </si>
  <si>
    <t>TT_2</t>
  </si>
  <si>
    <t>Excess</t>
  </si>
  <si>
    <t>E_1</t>
  </si>
  <si>
    <t>E_2</t>
  </si>
  <si>
    <t>Spec limit</t>
  </si>
  <si>
    <t>S1_E1</t>
  </si>
  <si>
    <t>S1_E2</t>
  </si>
  <si>
    <t>S2_E1</t>
  </si>
  <si>
    <t>S2_E2</t>
  </si>
  <si>
    <t>Max/Min</t>
  </si>
  <si>
    <t>new target thresholds</t>
  </si>
  <si>
    <t>Absobption</t>
  </si>
  <si>
    <t>Deterioration</t>
  </si>
  <si>
    <t>Sign</t>
  </si>
  <si>
    <t>w_nominal</t>
  </si>
  <si>
    <t>Intermediate calculations</t>
  </si>
  <si>
    <t>sigma_a</t>
  </si>
  <si>
    <t>sigma_m</t>
  </si>
  <si>
    <t>threshold_design</t>
  </si>
  <si>
    <t>w_thresh</t>
  </si>
  <si>
    <t>material</t>
  </si>
  <si>
    <t>design parameteres</t>
  </si>
  <si>
    <t>fixed parameters</t>
  </si>
  <si>
    <t>rho_threshold</t>
  </si>
  <si>
    <t>c_threshold</t>
  </si>
  <si>
    <t>Materials</t>
  </si>
  <si>
    <t>c</t>
  </si>
  <si>
    <t>sigma_y</t>
  </si>
  <si>
    <t>sigma_y_threshold</t>
  </si>
  <si>
    <t>weight</t>
  </si>
  <si>
    <t>cost</t>
  </si>
  <si>
    <t>performance parameters</t>
  </si>
  <si>
    <t>Intermediate parameters</t>
  </si>
  <si>
    <t>threshold performance parameters</t>
  </si>
  <si>
    <t>Impact of excess on performance</t>
  </si>
  <si>
    <t>E1</t>
  </si>
  <si>
    <t>E2</t>
  </si>
  <si>
    <t>AM Build Time</t>
  </si>
  <si>
    <t>Fixed parameters - Manuf. Calc</t>
  </si>
  <si>
    <t>Lt</t>
  </si>
  <si>
    <t>a</t>
  </si>
  <si>
    <t>Intermediate Parameters-Manuf cal</t>
  </si>
  <si>
    <t>A_tot</t>
  </si>
  <si>
    <t>A_s</t>
  </si>
  <si>
    <t>C_mach</t>
  </si>
  <si>
    <t>C_inert</t>
  </si>
  <si>
    <t>G_cons</t>
  </si>
  <si>
    <t>C_energy</t>
  </si>
  <si>
    <t>P_cons</t>
  </si>
  <si>
    <t>V_cham</t>
  </si>
  <si>
    <t>V_tot</t>
  </si>
  <si>
    <t>P_m</t>
  </si>
  <si>
    <t>W_mat</t>
  </si>
  <si>
    <t>N_L</t>
  </si>
  <si>
    <t>C_exec</t>
  </si>
  <si>
    <t>K_u</t>
  </si>
  <si>
    <t>C_mat</t>
  </si>
  <si>
    <t>E_D</t>
  </si>
  <si>
    <t>hatch</t>
  </si>
  <si>
    <t>beta</t>
  </si>
  <si>
    <t>Laser_P</t>
  </si>
  <si>
    <t>Laser_S</t>
  </si>
  <si>
    <t>C_manufacturing</t>
  </si>
  <si>
    <t>Manufacturability</t>
  </si>
  <si>
    <t>Performance parameters</t>
  </si>
  <si>
    <t>Manuf</t>
  </si>
  <si>
    <t>Threshold performance parameters</t>
  </si>
  <si>
    <t>Threshold Interm. Param-Manuf cal</t>
  </si>
  <si>
    <t>A_tot_th</t>
  </si>
  <si>
    <t>A_s_th</t>
  </si>
  <si>
    <t>V_tot_th</t>
  </si>
  <si>
    <t>E1-Calc</t>
  </si>
  <si>
    <t>AM build time</t>
  </si>
  <si>
    <t>E2-Cal</t>
  </si>
  <si>
    <t>ED_mat</t>
  </si>
  <si>
    <t>ED_thresh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</si>
</sst>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0" fillId="0" borderId="7" xfId="0" applyBorder="1"/>
    <xf numFmtId="0" fontId="0" fillId="0" borderId="13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/>
    <xf numFmtId="0" fontId="0" fillId="0" borderId="14" xfId="0" applyBorder="1"/>
    <xf numFmtId="0" fontId="0" fillId="0" borderId="11" xfId="0" applyBorder="1"/>
    <xf numFmtId="11" fontId="0" fillId="0" borderId="13" xfId="0" applyNumberFormat="1" applyBorder="1"/>
    <xf numFmtId="11" fontId="0" fillId="0" borderId="11" xfId="0" applyNumberFormat="1" applyBorder="1"/>
    <xf numFmtId="11" fontId="0" fillId="0" borderId="12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0" xfId="0" applyNumberFormat="1" applyBorder="1"/>
    <xf numFmtId="11" fontId="0" fillId="0" borderId="9" xfId="0" applyNumberFormat="1" applyBorder="1"/>
    <xf numFmtId="0" fontId="0" fillId="0" borderId="10" xfId="0" applyBorder="1"/>
    <xf numFmtId="0" fontId="0" fillId="0" borderId="3" xfId="0" applyFill="1" applyBorder="1"/>
    <xf numFmtId="0" fontId="0" fillId="0" borderId="5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0" fontId="0" fillId="0" borderId="0" xfId="0" applyFill="1" applyBorder="1"/>
    <xf numFmtId="0" fontId="0" fillId="0" borderId="14" xfId="0" applyFill="1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457200</xdr:colOff>
          <xdr:row>10</xdr:row>
          <xdr:rowOff>133350</xdr:rowOff>
        </xdr:from>
        <xdr:to>
          <xdr:col>19</xdr:col>
          <xdr:colOff>228600</xdr:colOff>
          <xdr:row>31</xdr:row>
          <xdr:rowOff>88900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60DB-5D9B-4E41-8AB5-2C470177AC99}">
  <dimension ref="A1:X60"/>
  <sheetViews>
    <sheetView tabSelected="1" topLeftCell="B26" zoomScaleNormal="100" workbookViewId="0">
      <selection activeCell="K36" sqref="K36"/>
    </sheetView>
  </sheetViews>
  <sheetFormatPr defaultColWidth="8.81640625" defaultRowHeight="14.5" x14ac:dyDescent="0.35"/>
  <cols>
    <col min="1" max="1" width="24" bestFit="1" customWidth="1"/>
    <col min="2" max="2" width="12.81640625" bestFit="1" customWidth="1"/>
    <col min="3" max="3" width="14.81640625" customWidth="1"/>
    <col min="4" max="5" width="16.7265625" customWidth="1"/>
    <col min="6" max="6" width="18.26953125" bestFit="1" customWidth="1"/>
    <col min="7" max="7" width="12.81640625" bestFit="1" customWidth="1"/>
    <col min="9" max="9" width="6.26953125" customWidth="1"/>
    <col min="10" max="10" width="11.08984375" customWidth="1"/>
    <col min="11" max="11" width="20.7265625" customWidth="1"/>
    <col min="14" max="14" width="11.54296875" customWidth="1"/>
    <col min="15" max="15" width="5.54296875" bestFit="1" customWidth="1"/>
    <col min="16" max="16" width="13.1796875" bestFit="1" customWidth="1"/>
    <col min="17" max="17" width="7.81640625" customWidth="1"/>
    <col min="18" max="18" width="6.1796875" bestFit="1" customWidth="1"/>
    <col min="19" max="20" width="13.1796875" bestFit="1" customWidth="1"/>
    <col min="21" max="21" width="20.7265625" bestFit="1" customWidth="1"/>
    <col min="22" max="24" width="13.1796875" bestFit="1" customWidth="1"/>
  </cols>
  <sheetData>
    <row r="1" spans="1:24" x14ac:dyDescent="0.35">
      <c r="A1" s="37" t="s">
        <v>40</v>
      </c>
      <c r="B1" s="38"/>
      <c r="F1" s="37" t="s">
        <v>16</v>
      </c>
      <c r="G1" s="38"/>
      <c r="I1" s="37" t="s">
        <v>50</v>
      </c>
      <c r="J1" s="39"/>
      <c r="K1" s="38"/>
      <c r="O1" s="37" t="s">
        <v>17</v>
      </c>
      <c r="P1" s="38"/>
      <c r="R1" s="37" t="s">
        <v>23</v>
      </c>
      <c r="S1" s="39"/>
      <c r="T1" s="13" t="s">
        <v>28</v>
      </c>
      <c r="U1" s="37" t="s">
        <v>29</v>
      </c>
      <c r="V1" s="38"/>
      <c r="W1" s="30" t="s">
        <v>31</v>
      </c>
      <c r="X1" s="31" t="s">
        <v>30</v>
      </c>
    </row>
    <row r="2" spans="1:24" x14ac:dyDescent="0.35">
      <c r="A2" s="1" t="s">
        <v>0</v>
      </c>
      <c r="B2" s="11">
        <v>70</v>
      </c>
      <c r="F2" s="1" t="s">
        <v>14</v>
      </c>
      <c r="G2" s="11">
        <f>((PI()^2)*E*w*(h^3))/(12*(K*L)^2)</f>
        <v>366614.79000277672</v>
      </c>
      <c r="I2" s="43" t="s">
        <v>48</v>
      </c>
      <c r="J2" s="44"/>
      <c r="K2" s="11">
        <f>rho*w*h*L</f>
        <v>1.6500670742421315</v>
      </c>
      <c r="O2" s="1" t="s">
        <v>18</v>
      </c>
      <c r="P2" s="11">
        <f t="array" ref="P2">E*w_nominal*h*alpha*(T_2*r_2 - T_1*r_1-T_sink*(r_2-r_1))*COS(RADIANS(theta))/L</f>
        <v>348578.57735674939</v>
      </c>
      <c r="R2" s="1" t="s">
        <v>24</v>
      </c>
      <c r="S2" s="7">
        <f>-G2*L /(r_1 *E*w_nominal*h*alpha*COS(RADIANS(theta))) + ((T_2*r_2)/r_1) - (T_sink*(r_2-r_1)/r_1)</f>
        <v>439.94462194621377</v>
      </c>
      <c r="T2" s="16">
        <f>MAX(S2:S3)</f>
        <v>439.94462194621377</v>
      </c>
      <c r="U2" s="1" t="s">
        <v>18</v>
      </c>
      <c r="V2" s="2">
        <f>E*w_nominal*h*alpha*(T_2*r_2 - T2*r_1-T_sink*(r_2-r_1))*COS(RADIANS(theta))/L</f>
        <v>366614.79000277678</v>
      </c>
      <c r="W2" s="5">
        <f>MAX(C22*(T2-T_1)/T_1,0)</f>
        <v>2.2345284563969395E-2</v>
      </c>
      <c r="X2" s="6">
        <f>IF(W2=0,0,ABS(V2-G6)/(G6*W2))</f>
        <v>2.3155745312789975</v>
      </c>
    </row>
    <row r="3" spans="1:24" x14ac:dyDescent="0.35">
      <c r="A3" s="3" t="s">
        <v>39</v>
      </c>
      <c r="B3" s="17">
        <v>2</v>
      </c>
      <c r="F3" s="3" t="s">
        <v>15</v>
      </c>
      <c r="G3" s="17">
        <f>LOOKUP(material,A30:A32,B30:B32)</f>
        <v>460</v>
      </c>
      <c r="I3" s="45" t="s">
        <v>49</v>
      </c>
      <c r="J3" s="46"/>
      <c r="K3" s="17">
        <f>rho*c_d*w*h*L</f>
        <v>0.75903085415138072</v>
      </c>
      <c r="O3" s="3" t="s">
        <v>19</v>
      </c>
      <c r="P3" s="17">
        <f>MAX(B26:B27)</f>
        <v>387.30953039638825</v>
      </c>
      <c r="R3" s="1" t="s">
        <v>25</v>
      </c>
      <c r="S3" s="7">
        <f>-G3*L /(r_1  *E*alpha*COS(RADIANS(theta))) + ((T_2*r_2)/r_1) - (T_sink*(r_2-r_1)/r_1)</f>
        <v>413.52686950387516</v>
      </c>
      <c r="T3" s="14"/>
      <c r="U3" s="1" t="s">
        <v>19</v>
      </c>
      <c r="V3" s="2">
        <f>E*alpha*(T_2*r_2 - T2*r_1-T_sink*(r_2-r_1))*COS(RADIANS(theta))/L</f>
        <v>407.349766669752</v>
      </c>
      <c r="W3" s="5">
        <f>MAX(C22*(T2-T_1)/T_1,0)</f>
        <v>2.2345284563969395E-2</v>
      </c>
      <c r="X3" s="6">
        <f>IF(W3=0,0,ABS(V3-G7)/(G7*W3))</f>
        <v>2.3155745312789953</v>
      </c>
    </row>
    <row r="4" spans="1:24" x14ac:dyDescent="0.35">
      <c r="A4" s="7"/>
      <c r="B4" s="7"/>
      <c r="F4" s="7"/>
      <c r="G4" s="7"/>
      <c r="I4" s="37" t="s">
        <v>52</v>
      </c>
      <c r="J4" s="39"/>
      <c r="K4" s="38"/>
      <c r="R4" s="1" t="s">
        <v>26</v>
      </c>
      <c r="S4" s="7">
        <f>G2*L /(r_2 *E*w_nominal*h*alpha*COS(RADIANS(theta))) + ((T_1*r_1)/r_2) + (T_sink*(r_2-r_1)/r_2)</f>
        <v>431.49429356129895</v>
      </c>
      <c r="T4" s="14">
        <f>MIN(S4:S5)</f>
        <v>431.49429356129895</v>
      </c>
      <c r="U4" s="1" t="s">
        <v>18</v>
      </c>
      <c r="V4" s="2">
        <f>E*w_nominal*h*alpha*(T4*r_2 - T_1*r_1-T_sink*(r_2-r_1))*COS(RADIANS(theta))/L</f>
        <v>366614.7900027766</v>
      </c>
      <c r="W4" s="5">
        <f>MAX(C23*(T4-T_2)/T_2,0)</f>
        <v>1.5280690732468108E-2</v>
      </c>
      <c r="X4" s="6">
        <f>IF(W4=0,0,ABS(V4-G6)/(G6*W4))</f>
        <v>3.3861147206237221</v>
      </c>
    </row>
    <row r="5" spans="1:24" x14ac:dyDescent="0.35">
      <c r="A5" s="37" t="s">
        <v>51</v>
      </c>
      <c r="B5" s="38"/>
      <c r="F5" s="23" t="s">
        <v>17</v>
      </c>
      <c r="G5" s="24"/>
      <c r="I5" s="11" t="s">
        <v>54</v>
      </c>
      <c r="J5" s="1" t="s">
        <v>48</v>
      </c>
      <c r="K5" s="11">
        <f>rho*w_thresh*h*L</f>
        <v>1.568889332801275</v>
      </c>
      <c r="O5" s="12" t="s">
        <v>20</v>
      </c>
      <c r="P5" s="13"/>
      <c r="R5" s="3" t="s">
        <v>27</v>
      </c>
      <c r="S5" s="8">
        <f>G3*L /(r_2 *E*alpha*COS(RADIANS(theta))) + ((T_1*r_1)/r_2) + (T_sink*(r_2-r_1)/r_2)</f>
        <v>448.55627160653728</v>
      </c>
      <c r="T5" s="15"/>
      <c r="U5" s="3" t="s">
        <v>19</v>
      </c>
      <c r="V5" s="4">
        <f>E*alpha*(T4*r_2 - T_1*r_1-T_sink*(r_2-r_1))*COS(RADIANS(theta))/L</f>
        <v>407.34976666975183</v>
      </c>
      <c r="W5" s="10">
        <f>MAX(C23*(T4-T_2)/T_2,0)</f>
        <v>1.5280690732468108E-2</v>
      </c>
      <c r="X5" s="9">
        <f>IF(W5=0,0,ABS(V5-G7)/(G7*W5))</f>
        <v>3.3861147206237225</v>
      </c>
    </row>
    <row r="6" spans="1:24" x14ac:dyDescent="0.35">
      <c r="A6" s="11" t="s">
        <v>5</v>
      </c>
      <c r="B6" s="11">
        <f>LOOKUP(material,A30:A32,C30:C32)</f>
        <v>8.1899999999999995E-6</v>
      </c>
      <c r="F6" s="1" t="s">
        <v>18</v>
      </c>
      <c r="G6" s="11">
        <f t="array" ref="G6">E*w_nominal*h*alpha*(T_2*r_2 - T_1*r_1-T_sink*(r_2-r_1))*COS(RADIANS(theta))/L</f>
        <v>348578.57735674939</v>
      </c>
      <c r="I6" s="19" t="s">
        <v>54</v>
      </c>
      <c r="J6" s="1" t="s">
        <v>49</v>
      </c>
      <c r="K6" s="19">
        <f>rho*c_d*w_thresh*h*L</f>
        <v>0.72168909308858664</v>
      </c>
      <c r="O6" s="1" t="s">
        <v>21</v>
      </c>
      <c r="P6" s="11">
        <f>$G$2-P2</f>
        <v>18036.212646027328</v>
      </c>
    </row>
    <row r="7" spans="1:24" x14ac:dyDescent="0.35">
      <c r="A7" s="17" t="s">
        <v>45</v>
      </c>
      <c r="B7" s="17">
        <f>LOOKUP(material,A30:A32,D30:D32)</f>
        <v>0.46</v>
      </c>
      <c r="F7" s="3" t="s">
        <v>19</v>
      </c>
      <c r="G7" s="17">
        <f>MAX(B26:B27)</f>
        <v>387.30953039638825</v>
      </c>
      <c r="I7" s="11" t="s">
        <v>55</v>
      </c>
      <c r="J7" s="5" t="s">
        <v>48</v>
      </c>
      <c r="K7" s="11">
        <f>rho_t*w*h*L</f>
        <v>1.7997027665947769</v>
      </c>
      <c r="O7" s="3" t="s">
        <v>22</v>
      </c>
      <c r="P7" s="17">
        <f>$G$3-P3</f>
        <v>72.690469603611746</v>
      </c>
    </row>
    <row r="8" spans="1:24" x14ac:dyDescent="0.35">
      <c r="I8" s="17" t="s">
        <v>55</v>
      </c>
      <c r="J8" s="3" t="s">
        <v>49</v>
      </c>
      <c r="K8" s="17">
        <f>rho_t*c_d_t*w*h*L</f>
        <v>0.60034807393673906</v>
      </c>
    </row>
    <row r="9" spans="1:24" x14ac:dyDescent="0.35">
      <c r="A9" s="37" t="s">
        <v>41</v>
      </c>
      <c r="B9" s="38"/>
      <c r="F9" s="23" t="s">
        <v>20</v>
      </c>
      <c r="G9" s="24"/>
      <c r="I9" s="40" t="s">
        <v>53</v>
      </c>
      <c r="J9" s="41"/>
      <c r="K9" s="42"/>
    </row>
    <row r="10" spans="1:24" x14ac:dyDescent="0.35">
      <c r="A10" s="1" t="s">
        <v>1</v>
      </c>
      <c r="B10" s="19">
        <v>15</v>
      </c>
      <c r="F10" s="1" t="s">
        <v>21</v>
      </c>
      <c r="G10" s="11">
        <f>$G$2-G6</f>
        <v>18036.212646027328</v>
      </c>
      <c r="I10" s="1" t="s">
        <v>54</v>
      </c>
      <c r="J10" s="1" t="s">
        <v>48</v>
      </c>
      <c r="K10" s="11">
        <f>(K5-$K$2)/K5</f>
        <v>-5.1742171830509227E-2</v>
      </c>
    </row>
    <row r="11" spans="1:24" x14ac:dyDescent="0.35">
      <c r="A11" s="3" t="s">
        <v>2</v>
      </c>
      <c r="B11" s="17">
        <v>10</v>
      </c>
      <c r="F11" s="3" t="s">
        <v>22</v>
      </c>
      <c r="G11" s="17">
        <f>$G$3-G7</f>
        <v>72.690469603611746</v>
      </c>
      <c r="I11" s="3" t="s">
        <v>55</v>
      </c>
      <c r="J11" s="1" t="s">
        <v>49</v>
      </c>
      <c r="K11" s="19">
        <f>($K$3-K6)/K6</f>
        <v>5.1742171830509304E-2</v>
      </c>
    </row>
    <row r="12" spans="1:24" x14ac:dyDescent="0.35">
      <c r="A12" s="5" t="s">
        <v>3</v>
      </c>
      <c r="B12" s="20">
        <v>7.17E-6</v>
      </c>
      <c r="I12" s="1" t="s">
        <v>54</v>
      </c>
      <c r="J12" s="5" t="s">
        <v>48</v>
      </c>
      <c r="K12" s="11">
        <f>(K7-$K$2)/K7</f>
        <v>8.314466984777244E-2</v>
      </c>
    </row>
    <row r="13" spans="1:24" x14ac:dyDescent="0.35">
      <c r="A13" s="1" t="s">
        <v>4</v>
      </c>
      <c r="B13" s="21">
        <v>156300</v>
      </c>
      <c r="F13" s="23" t="s">
        <v>37</v>
      </c>
      <c r="G13" s="24"/>
      <c r="I13" s="3" t="s">
        <v>55</v>
      </c>
      <c r="J13" s="3" t="s">
        <v>49</v>
      </c>
      <c r="K13" s="17">
        <f>($K$3-K8)/K8</f>
        <v>0.26431796336763574</v>
      </c>
    </row>
    <row r="14" spans="1:24" x14ac:dyDescent="0.35">
      <c r="A14" s="1" t="s">
        <v>10</v>
      </c>
      <c r="B14" s="21">
        <v>346.5</v>
      </c>
      <c r="F14" s="5" t="s">
        <v>38</v>
      </c>
      <c r="G14" s="11">
        <f>G6 / (((PI()^2) * E * (h^3)) / (12 * ((K * L)^2)))</f>
        <v>66.556235810311009</v>
      </c>
    </row>
    <row r="15" spans="1:24" x14ac:dyDescent="0.35">
      <c r="A15" s="1" t="s">
        <v>11</v>
      </c>
      <c r="B15" s="21">
        <v>536.5</v>
      </c>
      <c r="F15" s="1" t="s">
        <v>47</v>
      </c>
      <c r="G15" s="19">
        <f>$G$3-G11</f>
        <v>387.30953039638825</v>
      </c>
    </row>
    <row r="16" spans="1:24" x14ac:dyDescent="0.35">
      <c r="A16" s="1" t="s">
        <v>6</v>
      </c>
      <c r="B16" s="21">
        <v>1.5</v>
      </c>
      <c r="F16" s="28" t="s">
        <v>42</v>
      </c>
      <c r="G16" s="19">
        <f>_xlfn.FORECAST.LINEAR(G15,C31:C32,B31:B32)</f>
        <v>8.9327069720369022E-6</v>
      </c>
      <c r="I16" s="47" t="s">
        <v>56</v>
      </c>
      <c r="J16" s="47"/>
      <c r="K16">
        <f>N_L*(A_tot+A_s)*a</f>
        <v>14368.117339780967</v>
      </c>
    </row>
    <row r="17" spans="1:11" x14ac:dyDescent="0.35">
      <c r="A17" s="1" t="s">
        <v>7</v>
      </c>
      <c r="B17" s="21">
        <v>25</v>
      </c>
      <c r="F17" s="29" t="s">
        <v>43</v>
      </c>
      <c r="G17" s="17">
        <f>_xlfn.FORECAST.LINEAR(G15,D31:D32,B31:B32)</f>
        <v>0.33358179199371873</v>
      </c>
      <c r="I17" s="36" t="s">
        <v>74</v>
      </c>
      <c r="J17" s="36"/>
      <c r="K17">
        <f>V_tot/V_cham</f>
        <v>7.5741876405396808E-3</v>
      </c>
    </row>
    <row r="18" spans="1:11" x14ac:dyDescent="0.35">
      <c r="A18" s="3" t="s">
        <v>33</v>
      </c>
      <c r="B18" s="22">
        <v>60</v>
      </c>
      <c r="I18" s="36" t="s">
        <v>73</v>
      </c>
      <c r="J18" s="36"/>
      <c r="K18">
        <f>T_build*(C_mach+(C_inert*G_cons)+(C_energy*P_cons*K_u))</f>
        <v>7791431.4085135609</v>
      </c>
    </row>
    <row r="19" spans="1:11" x14ac:dyDescent="0.35">
      <c r="A19" s="18" t="s">
        <v>9</v>
      </c>
      <c r="B19" s="18">
        <f>-r_1*COS(RADIANS(theta)) + SQRT(r_2^2 - (r_1 * SIN(RADIANS(theta)))^2)</f>
        <v>191.87942022700526</v>
      </c>
      <c r="I19" s="36" t="s">
        <v>75</v>
      </c>
      <c r="J19" s="36"/>
      <c r="K19">
        <f>W_mat*P_m</f>
        <v>49.502012227263947</v>
      </c>
    </row>
    <row r="20" spans="1:11" x14ac:dyDescent="0.35">
      <c r="I20" s="48" t="s">
        <v>81</v>
      </c>
      <c r="J20" s="48"/>
      <c r="K20">
        <f>C_exec+C_mat</f>
        <v>7791480.9105257886</v>
      </c>
    </row>
    <row r="21" spans="1:11" x14ac:dyDescent="0.35">
      <c r="A21" s="37" t="s">
        <v>8</v>
      </c>
      <c r="B21" s="38"/>
      <c r="C21" s="11" t="s">
        <v>32</v>
      </c>
      <c r="I21" s="48" t="s">
        <v>6</v>
      </c>
      <c r="J21" s="48"/>
      <c r="K21">
        <f>E_D/E31</f>
        <v>3.5178313430925708E-2</v>
      </c>
    </row>
    <row r="22" spans="1:11" x14ac:dyDescent="0.35">
      <c r="A22" s="5" t="s">
        <v>12</v>
      </c>
      <c r="B22" s="16">
        <v>450</v>
      </c>
      <c r="C22" s="11">
        <v>-1</v>
      </c>
      <c r="F22" s="36" t="s">
        <v>57</v>
      </c>
      <c r="G22" s="36"/>
    </row>
    <row r="23" spans="1:11" x14ac:dyDescent="0.35">
      <c r="A23" s="3" t="s">
        <v>13</v>
      </c>
      <c r="B23" s="15">
        <v>425</v>
      </c>
      <c r="C23" s="17">
        <v>1</v>
      </c>
      <c r="F23" t="s">
        <v>58</v>
      </c>
      <c r="G23" s="49">
        <v>0.5</v>
      </c>
      <c r="I23" s="48" t="s">
        <v>82</v>
      </c>
      <c r="J23" s="48"/>
      <c r="K23">
        <f>K21*K20</f>
        <v>274091.15756155062</v>
      </c>
    </row>
    <row r="24" spans="1:11" x14ac:dyDescent="0.35">
      <c r="F24" t="s">
        <v>59</v>
      </c>
      <c r="G24">
        <v>5.5599999999999996E-4</v>
      </c>
    </row>
    <row r="25" spans="1:11" x14ac:dyDescent="0.35">
      <c r="A25" s="37" t="s">
        <v>34</v>
      </c>
      <c r="B25" s="38"/>
      <c r="D25" s="7"/>
      <c r="E25" s="7"/>
      <c r="F25" t="s">
        <v>63</v>
      </c>
      <c r="G25">
        <v>40</v>
      </c>
    </row>
    <row r="26" spans="1:11" x14ac:dyDescent="0.35">
      <c r="A26" s="11" t="s">
        <v>35</v>
      </c>
      <c r="B26" s="11">
        <f>E*alpha*(T_2*r_2 - T_1*r_1-T_sink*(r_2-r_1))*COS(RADIANS(theta))/L</f>
        <v>387.30953039638825</v>
      </c>
      <c r="D26" s="7"/>
      <c r="E26" s="7"/>
      <c r="F26" t="s">
        <v>64</v>
      </c>
      <c r="G26">
        <v>5</v>
      </c>
      <c r="I26" s="36" t="s">
        <v>83</v>
      </c>
      <c r="J26" s="36"/>
      <c r="K26" s="36"/>
    </row>
    <row r="27" spans="1:11" x14ac:dyDescent="0.35">
      <c r="A27" s="17" t="s">
        <v>36</v>
      </c>
      <c r="B27" s="17">
        <f>1.5*E*h*alpha*(T_2*r_2 - T_1*r_1-T_sink*(r_2-r_1))*SIN(RADIANS(theta))/(L^2)</f>
        <v>8.0081292736151966</v>
      </c>
      <c r="D27" s="7"/>
      <c r="E27" s="7"/>
      <c r="F27" t="s">
        <v>65</v>
      </c>
      <c r="G27">
        <v>100</v>
      </c>
      <c r="I27" s="36" t="s">
        <v>84</v>
      </c>
      <c r="J27" s="36"/>
      <c r="K27">
        <f>K21*K20</f>
        <v>274091.15756155062</v>
      </c>
    </row>
    <row r="28" spans="1:11" x14ac:dyDescent="0.35">
      <c r="D28" s="7"/>
      <c r="E28" s="7"/>
      <c r="F28" t="s">
        <v>66</v>
      </c>
      <c r="G28">
        <v>30</v>
      </c>
    </row>
    <row r="29" spans="1:11" x14ac:dyDescent="0.35">
      <c r="A29" s="10" t="s">
        <v>44</v>
      </c>
      <c r="B29" s="10" t="s">
        <v>46</v>
      </c>
      <c r="C29" s="27" t="s">
        <v>5</v>
      </c>
      <c r="D29" s="9" t="s">
        <v>45</v>
      </c>
      <c r="E29" s="33" t="s">
        <v>93</v>
      </c>
      <c r="F29" s="32" t="s">
        <v>67</v>
      </c>
      <c r="G29">
        <v>10</v>
      </c>
      <c r="I29" s="36" t="s">
        <v>85</v>
      </c>
      <c r="J29" s="36"/>
      <c r="K29" s="36"/>
    </row>
    <row r="30" spans="1:11" x14ac:dyDescent="0.35">
      <c r="A30" s="1">
        <v>1</v>
      </c>
      <c r="B30" s="1">
        <v>92</v>
      </c>
      <c r="C30" s="25">
        <v>1.1950000000000001E-5</v>
      </c>
      <c r="D30" s="2">
        <v>0.1</v>
      </c>
      <c r="E30" s="5">
        <v>90</v>
      </c>
      <c r="F30" s="32" t="s">
        <v>68</v>
      </c>
      <c r="G30" s="32">
        <v>26600000</v>
      </c>
      <c r="I30" s="35" t="s">
        <v>54</v>
      </c>
      <c r="J30" s="35" t="s">
        <v>84</v>
      </c>
      <c r="K30">
        <f>G54*G55</f>
        <v>262857.96773945272</v>
      </c>
    </row>
    <row r="31" spans="1:11" x14ac:dyDescent="0.35">
      <c r="A31" s="1">
        <v>2</v>
      </c>
      <c r="B31" s="1">
        <v>460</v>
      </c>
      <c r="C31" s="25">
        <v>8.1899999999999995E-6</v>
      </c>
      <c r="D31" s="2">
        <v>0.46</v>
      </c>
      <c r="E31" s="28">
        <v>144.80000000000001</v>
      </c>
      <c r="F31" s="32" t="s">
        <v>70</v>
      </c>
      <c r="G31" s="32">
        <v>30</v>
      </c>
      <c r="I31" t="s">
        <v>55</v>
      </c>
      <c r="J31" t="s">
        <v>84</v>
      </c>
      <c r="K31">
        <f>G58*G59</f>
        <v>295192.98634866631</v>
      </c>
    </row>
    <row r="32" spans="1:11" x14ac:dyDescent="0.35">
      <c r="A32" s="3">
        <v>3</v>
      </c>
      <c r="B32" s="3">
        <v>828</v>
      </c>
      <c r="C32" s="26">
        <v>4.4299999999999999E-6</v>
      </c>
      <c r="D32" s="4">
        <v>1.1000000000000001</v>
      </c>
      <c r="E32" s="3">
        <v>195</v>
      </c>
      <c r="F32" s="32" t="s">
        <v>77</v>
      </c>
      <c r="G32" s="32">
        <v>0.1</v>
      </c>
    </row>
    <row r="33" spans="5:11" x14ac:dyDescent="0.35">
      <c r="E33" t="s">
        <v>94</v>
      </c>
      <c r="F33" s="32" t="s">
        <v>78</v>
      </c>
      <c r="G33" s="32">
        <v>0.18</v>
      </c>
      <c r="I33" s="36" t="s">
        <v>53</v>
      </c>
      <c r="J33" s="36"/>
      <c r="K33" s="36"/>
    </row>
    <row r="34" spans="5:11" x14ac:dyDescent="0.35">
      <c r="E34">
        <f>(0.1427*G15)+79.18</f>
        <v>134.4490699875646</v>
      </c>
      <c r="F34" s="32" t="s">
        <v>79</v>
      </c>
      <c r="G34">
        <v>155</v>
      </c>
      <c r="I34" t="s">
        <v>54</v>
      </c>
      <c r="J34" t="s">
        <v>84</v>
      </c>
      <c r="K34">
        <f>(K30-K27)/K30</f>
        <v>-4.2734827171882928E-2</v>
      </c>
    </row>
    <row r="35" spans="5:11" x14ac:dyDescent="0.35">
      <c r="F35" s="32" t="s">
        <v>3</v>
      </c>
      <c r="G35">
        <v>5</v>
      </c>
      <c r="I35" t="s">
        <v>55</v>
      </c>
      <c r="J35" t="s">
        <v>84</v>
      </c>
      <c r="K35">
        <f>(K31-K27)/K31</f>
        <v>7.1484858255376468E-2</v>
      </c>
    </row>
    <row r="36" spans="5:11" x14ac:dyDescent="0.35">
      <c r="F36" s="32" t="s">
        <v>80</v>
      </c>
      <c r="G36">
        <v>300</v>
      </c>
    </row>
    <row r="37" spans="5:11" x14ac:dyDescent="0.35">
      <c r="F37" t="s">
        <v>76</v>
      </c>
      <c r="G37">
        <f>(beta*Laser_P)/(2*hatch*SQRT(alph*Laser_S*Lt))</f>
        <v>5.0938197847980433</v>
      </c>
    </row>
    <row r="39" spans="5:11" x14ac:dyDescent="0.35">
      <c r="F39" s="36" t="s">
        <v>60</v>
      </c>
      <c r="G39" s="36"/>
    </row>
    <row r="40" spans="5:11" x14ac:dyDescent="0.35">
      <c r="F40" t="s">
        <v>61</v>
      </c>
      <c r="G40">
        <f>2*((w*h)+(L*h)+(L*w))</f>
        <v>34719.501438590894</v>
      </c>
    </row>
    <row r="41" spans="5:11" x14ac:dyDescent="0.35">
      <c r="F41" t="s">
        <v>62</v>
      </c>
      <c r="G41">
        <f>2*L*(h+w)</f>
        <v>32619.501438590894</v>
      </c>
    </row>
    <row r="42" spans="5:11" x14ac:dyDescent="0.35">
      <c r="F42" t="s">
        <v>69</v>
      </c>
      <c r="G42">
        <f>w*h*L</f>
        <v>201473.39123835551</v>
      </c>
    </row>
    <row r="43" spans="5:11" x14ac:dyDescent="0.35">
      <c r="F43" t="s">
        <v>71</v>
      </c>
      <c r="G43">
        <f>K2</f>
        <v>1.6500670742421315</v>
      </c>
    </row>
    <row r="44" spans="5:11" x14ac:dyDescent="0.35">
      <c r="F44" t="s">
        <v>72</v>
      </c>
      <c r="G44">
        <f>L/(Lt)</f>
        <v>383.75884045401051</v>
      </c>
    </row>
    <row r="45" spans="5:11" x14ac:dyDescent="0.35">
      <c r="F45" s="36" t="s">
        <v>86</v>
      </c>
      <c r="G45" s="36"/>
    </row>
    <row r="46" spans="5:11" x14ac:dyDescent="0.35">
      <c r="F46" t="s">
        <v>87</v>
      </c>
      <c r="G46">
        <f>2*((w_thresh*h)+(L*h)+(L*w_thresh))</f>
        <v>33294.613560668135</v>
      </c>
    </row>
    <row r="47" spans="5:11" x14ac:dyDescent="0.35">
      <c r="F47" t="s">
        <v>88</v>
      </c>
      <c r="G47">
        <f>2*L*(h+w_thresh)</f>
        <v>31297.9264863588</v>
      </c>
    </row>
    <row r="48" spans="5:11" x14ac:dyDescent="0.35">
      <c r="F48" t="s">
        <v>89</v>
      </c>
      <c r="G48">
        <f>w_thresh*h*L</f>
        <v>191561.57909661482</v>
      </c>
    </row>
    <row r="49" spans="6:7" x14ac:dyDescent="0.35">
      <c r="F49" s="36" t="s">
        <v>90</v>
      </c>
      <c r="G49" s="36"/>
    </row>
    <row r="50" spans="6:7" x14ac:dyDescent="0.35">
      <c r="F50" t="s">
        <v>91</v>
      </c>
      <c r="G50">
        <f>N_L*(A_tot_th+A_s_th)*a</f>
        <v>13782.104798357019</v>
      </c>
    </row>
    <row r="51" spans="6:7" x14ac:dyDescent="0.35">
      <c r="F51" t="s">
        <v>74</v>
      </c>
      <c r="G51">
        <f>V_tot_th/V_cham</f>
        <v>7.2015631239328876E-3</v>
      </c>
    </row>
    <row r="52" spans="6:7" x14ac:dyDescent="0.35">
      <c r="F52" t="s">
        <v>73</v>
      </c>
      <c r="G52">
        <f>T_build_E1*(C_mach+(C_inert*G_cons)+(C_energy*P_cons*K_u_th))</f>
        <v>7472112.4004185982</v>
      </c>
    </row>
    <row r="53" spans="6:7" x14ac:dyDescent="0.35">
      <c r="F53" t="s">
        <v>75</v>
      </c>
      <c r="G53">
        <f>K5*P_m</f>
        <v>47.066679984038245</v>
      </c>
    </row>
    <row r="54" spans="6:7" x14ac:dyDescent="0.35">
      <c r="F54" t="s">
        <v>81</v>
      </c>
      <c r="G54">
        <f>C_exec_E1+C_mat_E1</f>
        <v>7472159.4670985825</v>
      </c>
    </row>
    <row r="55" spans="6:7" x14ac:dyDescent="0.35">
      <c r="F55" t="s">
        <v>6</v>
      </c>
      <c r="G55">
        <f>E_D/E31</f>
        <v>3.5178313430925708E-2</v>
      </c>
    </row>
    <row r="56" spans="6:7" x14ac:dyDescent="0.35">
      <c r="F56" s="36" t="s">
        <v>92</v>
      </c>
      <c r="G56" s="36"/>
    </row>
    <row r="57" spans="6:7" x14ac:dyDescent="0.35">
      <c r="F57" t="s">
        <v>75</v>
      </c>
      <c r="G57">
        <f>K7*P_m</f>
        <v>53.991082997843307</v>
      </c>
    </row>
    <row r="58" spans="6:7" x14ac:dyDescent="0.35">
      <c r="F58" t="s">
        <v>81</v>
      </c>
      <c r="G58">
        <f>C_exec+C_mat_E2</f>
        <v>7791485.3995965589</v>
      </c>
    </row>
    <row r="59" spans="6:7" x14ac:dyDescent="0.35">
      <c r="F59" t="s">
        <v>6</v>
      </c>
      <c r="G59">
        <f>E_D/ED_thresh</f>
        <v>3.7886612270870881E-2</v>
      </c>
    </row>
    <row r="60" spans="6:7" x14ac:dyDescent="0.35">
      <c r="F60" s="34"/>
      <c r="G60" s="34"/>
    </row>
  </sheetData>
  <mergeCells count="30">
    <mergeCell ref="I33:K33"/>
    <mergeCell ref="A9:B9"/>
    <mergeCell ref="A21:B21"/>
    <mergeCell ref="R1:S1"/>
    <mergeCell ref="F1:G1"/>
    <mergeCell ref="O1:P1"/>
    <mergeCell ref="A1:B1"/>
    <mergeCell ref="I1:K1"/>
    <mergeCell ref="A5:B5"/>
    <mergeCell ref="I23:J23"/>
    <mergeCell ref="I26:K26"/>
    <mergeCell ref="I27:J27"/>
    <mergeCell ref="I29:K29"/>
    <mergeCell ref="U1:V1"/>
    <mergeCell ref="F22:G22"/>
    <mergeCell ref="I17:J17"/>
    <mergeCell ref="I18:J18"/>
    <mergeCell ref="I19:J19"/>
    <mergeCell ref="I21:J21"/>
    <mergeCell ref="I20:J20"/>
    <mergeCell ref="I4:K4"/>
    <mergeCell ref="I9:K9"/>
    <mergeCell ref="I2:J2"/>
    <mergeCell ref="I3:J3"/>
    <mergeCell ref="I16:J16"/>
    <mergeCell ref="F45:G45"/>
    <mergeCell ref="F49:G49"/>
    <mergeCell ref="F56:G56"/>
    <mergeCell ref="F39:G39"/>
    <mergeCell ref="A25:B25"/>
  </mergeCells>
  <phoneticPr fontId="1" type="noConversion"/>
  <pageMargins left="0.7" right="0.7" top="0.75" bottom="0.75" header="0.3" footer="0.3"/>
  <pageSetup orientation="portrait" horizontalDpi="4294967295" verticalDpi="4294967295" r:id="rId1"/>
  <drawing r:id="rId2"/>
  <legacyDrawing r:id="rId3"/>
  <oleObjects>
    <mc:AlternateContent xmlns:mc="http://schemas.openxmlformats.org/markup-compatibility/2006">
      <mc:Choice Requires="x14">
        <oleObject progId="Visio.Drawing.15" shapeId="1045" r:id="rId4">
          <objectPr defaultSize="0" autoPict="0" r:id="rId5">
            <anchor moveWithCells="1">
              <from>
                <xdr:col>11</xdr:col>
                <xdr:colOff>457200</xdr:colOff>
                <xdr:row>10</xdr:row>
                <xdr:rowOff>133350</xdr:rowOff>
              </from>
              <to>
                <xdr:col>19</xdr:col>
                <xdr:colOff>228600</xdr:colOff>
                <xdr:row>31</xdr:row>
                <xdr:rowOff>88900</xdr:rowOff>
              </to>
            </anchor>
          </objectPr>
        </oleObject>
      </mc:Choice>
      <mc:Fallback>
        <oleObject progId="Visio.Drawing.15" shapeId="10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53</vt:i4>
      </vt:variant>
    </vt:vector>
  </HeadingPairs>
  <TitlesOfParts>
    <vt:vector size="54" baseType="lpstr">
      <vt:lpstr>Sheet1</vt:lpstr>
      <vt:lpstr>a</vt:lpstr>
      <vt:lpstr>A_s</vt:lpstr>
      <vt:lpstr>A_s_th</vt:lpstr>
      <vt:lpstr>A_tot</vt:lpstr>
      <vt:lpstr>A_tot_th</vt:lpstr>
      <vt:lpstr>A_x</vt:lpstr>
      <vt:lpstr>alph</vt:lpstr>
      <vt:lpstr>alpha</vt:lpstr>
      <vt:lpstr>beta</vt:lpstr>
      <vt:lpstr>c_d</vt:lpstr>
      <vt:lpstr>c_d_t</vt:lpstr>
      <vt:lpstr>C_energy</vt:lpstr>
      <vt:lpstr>C_exec</vt:lpstr>
      <vt:lpstr>C_exec_E1</vt:lpstr>
      <vt:lpstr>C_inert</vt:lpstr>
      <vt:lpstr>C_mach</vt:lpstr>
      <vt:lpstr>C_mat</vt:lpstr>
      <vt:lpstr>C_mat_E1</vt:lpstr>
      <vt:lpstr>C_mat_E2</vt:lpstr>
      <vt:lpstr>E</vt:lpstr>
      <vt:lpstr>E_D</vt:lpstr>
      <vt:lpstr>ED_thresh</vt:lpstr>
      <vt:lpstr>G_cons</vt:lpstr>
      <vt:lpstr>h</vt:lpstr>
      <vt:lpstr>hatch</vt:lpstr>
      <vt:lpstr>K</vt:lpstr>
      <vt:lpstr>K_u</vt:lpstr>
      <vt:lpstr>K_u_th</vt:lpstr>
      <vt:lpstr>L</vt:lpstr>
      <vt:lpstr>Laser_P</vt:lpstr>
      <vt:lpstr>Laser_S</vt:lpstr>
      <vt:lpstr>Lt</vt:lpstr>
      <vt:lpstr>material</vt:lpstr>
      <vt:lpstr>N_L</vt:lpstr>
      <vt:lpstr>P_cons</vt:lpstr>
      <vt:lpstr>P_m</vt:lpstr>
      <vt:lpstr>r_1</vt:lpstr>
      <vt:lpstr>r_2</vt:lpstr>
      <vt:lpstr>rho</vt:lpstr>
      <vt:lpstr>rho_t</vt:lpstr>
      <vt:lpstr>T_1</vt:lpstr>
      <vt:lpstr>T_2</vt:lpstr>
      <vt:lpstr>T_build</vt:lpstr>
      <vt:lpstr>T_build_E1</vt:lpstr>
      <vt:lpstr>T_sink</vt:lpstr>
      <vt:lpstr>theta</vt:lpstr>
      <vt:lpstr>V_cham</vt:lpstr>
      <vt:lpstr>V_tot</vt:lpstr>
      <vt:lpstr>V_tot_th</vt:lpstr>
      <vt:lpstr>w</vt:lpstr>
      <vt:lpstr>W_mat</vt:lpstr>
      <vt:lpstr>w_nominal</vt:lpstr>
      <vt:lpstr>w_thresh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</dc:creator>
  <cp:lastModifiedBy>XPS</cp:lastModifiedBy>
  <dcterms:created xsi:type="dcterms:W3CDTF">2022-01-03T20:16:17Z</dcterms:created>
  <dcterms:modified xsi:type="dcterms:W3CDTF">2022-06-14T11:29:10Z</dcterms:modified>
</cp:coreProperties>
</file>