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esktop\"/>
    </mc:Choice>
  </mc:AlternateContent>
  <xr:revisionPtr revIDLastSave="0" documentId="13_ncr:1_{DCEF7270-5FC1-48C1-8BA1-F4A52A6EFA60}" xr6:coauthVersionLast="47" xr6:coauthVersionMax="47" xr10:uidLastSave="{00000000-0000-0000-0000-000000000000}"/>
  <bookViews>
    <workbookView xWindow="-105" yWindow="1965" windowWidth="33165" windowHeight="12495" xr2:uid="{B5415E72-B440-4834-A6A2-FFD4E11C21FF}"/>
  </bookViews>
  <sheets>
    <sheet name="Sheet1" sheetId="1" r:id="rId1"/>
  </sheets>
  <definedNames>
    <definedName name="alph">Sheet1!#REF!</definedName>
    <definedName name="alpha">Sheet1!$B$15</definedName>
    <definedName name="B_X">Sheet1!#REF!</definedName>
    <definedName name="B_Y">Sheet1!#REF!</definedName>
    <definedName name="beta">Sheet1!#REF!</definedName>
    <definedName name="C_ac">Sheet1!$B$28</definedName>
    <definedName name="c_d">Sheet1!$B$7</definedName>
    <definedName name="c_d_t">Sheet1!$J$17</definedName>
    <definedName name="C_ener">Sheet1!$J$25</definedName>
    <definedName name="C_ener_E1">Sheet1!$J$32</definedName>
    <definedName name="C_ener_E2">Sheet1!$J$40</definedName>
    <definedName name="C_energy">Sheet1!$B$29</definedName>
    <definedName name="C_exec">Sheet1!#REF!</definedName>
    <definedName name="C_exec_E1">Sheet1!#REF!</definedName>
    <definedName name="C_exec_E2">Sheet1!$J$45</definedName>
    <definedName name="C_exec_nominal">Sheet1!#REF!</definedName>
    <definedName name="C_manufacturing_th_E1">Sheet1!#REF!</definedName>
    <definedName name="C_manufacturing_th_E2">Sheet1!$J$47</definedName>
    <definedName name="C_mat">Sheet1!$J$23</definedName>
    <definedName name="C_mat_E1">Sheet1!$J$31</definedName>
    <definedName name="C_mat_E2">Sheet1!$J$39</definedName>
    <definedName name="C_mat_nominal">Sheet1!#REF!</definedName>
    <definedName name="C_pl">Sheet1!$B$10</definedName>
    <definedName name="C_pl_thresh">Sheet1!$J$19</definedName>
    <definedName name="C_ps">Sheet1!$B$8</definedName>
    <definedName name="C_ps_thresh">Sheet1!$J$20</definedName>
    <definedName name="C_s">Sheet1!$B$30</definedName>
    <definedName name="C_tool">Sheet1!$J$26</definedName>
    <definedName name="C_tool_E1">Sheet1!$J$35</definedName>
    <definedName name="C_tool_E2">Sheet1!$J$43</definedName>
    <definedName name="C_unit">Sheet1!#REF!</definedName>
    <definedName name="C_unit_mat">Sheet1!#REF!</definedName>
    <definedName name="E">Sheet1!$B$16</definedName>
    <definedName name="E_D">Sheet1!#REF!</definedName>
    <definedName name="ED_mat">Sheet1!$B$8</definedName>
    <definedName name="F_Loss">Sheet1!$B$24</definedName>
    <definedName name="f_loss_E">Sheet1!$B$25</definedName>
    <definedName name="F_loss_ener">Sheet1!$B$25</definedName>
    <definedName name="F_loss_energy">Sheet1!$B$25</definedName>
    <definedName name="h">Sheet1!$B$13</definedName>
    <definedName name="hatch">Sheet1!#REF!</definedName>
    <definedName name="K">Sheet1!$B$19</definedName>
    <definedName name="K_nominal">Sheet1!#REF!</definedName>
    <definedName name="K_th_E1">Sheet1!#REF!</definedName>
    <definedName name="K_th_E2">Sheet1!$J$48</definedName>
    <definedName name="L">Sheet1!$B$22</definedName>
    <definedName name="Laser_P">Sheet1!#REF!</definedName>
    <definedName name="Laser_S">Sheet1!#REF!</definedName>
    <definedName name="loss">Sheet1!$B$25</definedName>
    <definedName name="Lt">Sheet1!#REF!</definedName>
    <definedName name="manu_nominal">Sheet1!$J$28</definedName>
    <definedName name="manu_th_E1">Sheet1!$J$36</definedName>
    <definedName name="manu_th_E2">Sheet1!$J$44</definedName>
    <definedName name="material">Sheet1!$B$3</definedName>
    <definedName name="N_L">Sheet1!$B$24</definedName>
    <definedName name="n_struts">Sheet1!#REF!</definedName>
    <definedName name="P_m">Sheet1!#REF!</definedName>
    <definedName name="r_1">Sheet1!$B$17</definedName>
    <definedName name="r_2">Sheet1!$B$18</definedName>
    <definedName name="rho">Sheet1!$B$6</definedName>
    <definedName name="rho_t">Sheet1!$J$16</definedName>
    <definedName name="sigma_y">Sheet1!#REF!</definedName>
    <definedName name="T_1">Sheet1!$B$33</definedName>
    <definedName name="T_2">Sheet1!$B$34</definedName>
    <definedName name="T_melt">Sheet1!$B$9</definedName>
    <definedName name="T_melt_thresh">Sheet1!$J$18</definedName>
    <definedName name="t_room">Sheet1!$B$26</definedName>
    <definedName name="T_sink">Sheet1!$B$20</definedName>
    <definedName name="T_tap">Sheet1!$B$27</definedName>
    <definedName name="theta">Sheet1!$B$14</definedName>
    <definedName name="V_cast">Sheet1!$J$27</definedName>
    <definedName name="V_cham">Sheet1!$B$31</definedName>
    <definedName name="V_tot_th">Sheet1!$J$33</definedName>
    <definedName name="V_tot_th_E1">Sheet1!$J$33</definedName>
    <definedName name="V_tot_th_E2">Sheet1!$J$41</definedName>
    <definedName name="w">Sheet1!$B$2</definedName>
    <definedName name="W_mat">Sheet1!$J$24</definedName>
    <definedName name="W_mat_th_E1">Sheet1!$J$34</definedName>
    <definedName name="W_mat_th_E2">Sheet1!$J$42</definedName>
    <definedName name="w_nominal">Sheet1!$B$21</definedName>
    <definedName name="w_thresh">Sheet1!$J$14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9" i="1" l="1"/>
  <c r="J40" i="1"/>
  <c r="J32" i="1"/>
  <c r="J24" i="1"/>
  <c r="J25" i="1" s="1"/>
  <c r="B10" i="1"/>
  <c r="B9" i="1"/>
  <c r="G41" i="1"/>
  <c r="C41" i="1"/>
  <c r="D41" i="1"/>
  <c r="E41" i="1"/>
  <c r="F41" i="1"/>
  <c r="B8" i="1" l="1"/>
  <c r="B22" i="1" l="1"/>
  <c r="J27" i="1" s="1"/>
  <c r="J26" i="1" s="1"/>
  <c r="B7" i="1"/>
  <c r="B6" i="1"/>
  <c r="J3" i="1"/>
  <c r="N3" i="1" l="1"/>
  <c r="J41" i="1"/>
  <c r="J43" i="1" s="1"/>
  <c r="S2" i="1" a="1"/>
  <c r="S2" i="1" s="1"/>
  <c r="B37" i="1"/>
  <c r="B38" i="1"/>
  <c r="V3" i="1"/>
  <c r="J2" i="1"/>
  <c r="J6" i="1" a="1"/>
  <c r="J6" i="1" s="1"/>
  <c r="J14" i="1" s="1"/>
  <c r="J34" i="1" s="1"/>
  <c r="J31" i="1" s="1"/>
  <c r="V5" i="1"/>
  <c r="N2" i="1"/>
  <c r="J23" i="1" l="1"/>
  <c r="J28" i="1" s="1"/>
  <c r="N4" i="1" s="1"/>
  <c r="N7" i="1"/>
  <c r="N14" i="1" s="1"/>
  <c r="J33" i="1"/>
  <c r="J35" i="1" s="1"/>
  <c r="S6" i="1"/>
  <c r="S3" i="1"/>
  <c r="S7" i="1" s="1"/>
  <c r="V4" i="1"/>
  <c r="W4" i="1" s="1"/>
  <c r="Y5" i="1" s="1"/>
  <c r="V2" i="1"/>
  <c r="W2" i="1" s="1"/>
  <c r="Y2" i="1" s="1"/>
  <c r="N6" i="1"/>
  <c r="N13" i="1" s="1"/>
  <c r="J10" i="1"/>
  <c r="J7" i="1"/>
  <c r="J11" i="1" s="1"/>
  <c r="J15" i="1" s="1"/>
  <c r="J19" i="1" l="1"/>
  <c r="J20" i="1"/>
  <c r="J18" i="1"/>
  <c r="Z5" i="1"/>
  <c r="Y4" i="1"/>
  <c r="Y3" i="1"/>
  <c r="Z2" i="1"/>
  <c r="AA2" i="1" s="1"/>
  <c r="Z3" i="1"/>
  <c r="J17" i="1"/>
  <c r="J16" i="1"/>
  <c r="J42" i="1" s="1"/>
  <c r="Z4" i="1"/>
  <c r="AA5" i="1"/>
  <c r="J36" i="1" l="1"/>
  <c r="N8" i="1" s="1"/>
  <c r="N15" i="1" s="1"/>
  <c r="AA4" i="1"/>
  <c r="AA3" i="1"/>
  <c r="N10" i="1"/>
  <c r="N17" i="1" s="1"/>
  <c r="N9" i="1"/>
  <c r="N16" i="1" s="1"/>
  <c r="J44" i="1" l="1"/>
  <c r="N11" i="1" s="1"/>
  <c r="N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Khalil</author>
  </authors>
  <commentList>
    <comment ref="I1" authorId="0" shapeId="0" xr:uid="{1806E225-A16A-4266-A753-4F8C923EA1D7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First calculation to determine the frozen design (i.e., the decided values) </t>
        </r>
      </text>
    </comment>
    <comment ref="R1" authorId="0" shapeId="0" xr:uid="{50C0B77D-CBB5-41DC-924F-994321A28067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Khalil:
Calculating the new thresholds by propagating threshold design parameters rather than decided values</t>
        </r>
      </text>
    </comment>
    <comment ref="B2" authorId="0" shapeId="0" xr:uid="{A2AD9CD6-A7A9-462B-B00E-86A9DAF23D6F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choose increments of 5mm</t>
        </r>
      </text>
    </comment>
    <comment ref="J2" authorId="0" shapeId="0" xr:uid="{7CAD0C51-477B-4BD1-9911-A7A27B999EED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B2</t>
        </r>
      </text>
    </comment>
    <comment ref="N2" authorId="0" shapeId="0" xr:uid="{80D64543-AB0D-4556-AF17-499C89FAF5BA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B5</t>
        </r>
      </text>
    </comment>
    <comment ref="B3" authorId="0" shapeId="0" xr:uid="{911D1E9D-54F4-407A-9632-12D466DAAD9E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choose a material 1,2,3</t>
        </r>
      </text>
    </comment>
    <comment ref="N3" authorId="0" shapeId="0" xr:uid="{A65954FA-DAA8-4BDF-91F1-32DCCE5B1703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B6</t>
        </r>
      </text>
    </comment>
    <comment ref="L5" authorId="0" shapeId="0" xr:uid="{DECDDA25-7AA9-4C70-B511-34C45A68A5E6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Threshold performances (without margins)</t>
        </r>
      </text>
    </comment>
    <comment ref="J6" authorId="0" shapeId="0" xr:uid="{D2A33D46-3A94-4A9A-8D92-1BE63AC29A8C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B1</t>
        </r>
      </text>
    </comment>
    <comment ref="J7" authorId="0" shapeId="0" xr:uid="{88EDC153-6B7D-4501-819E-0E0388DD82B1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B3</t>
        </r>
      </text>
    </comment>
    <comment ref="L12" authorId="0" shapeId="0" xr:uid="{56703695-FB3A-4592-9899-B7B5CE2719EF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Impact of each margin on each performance parameter</t>
        </r>
      </text>
    </comment>
    <comment ref="J14" authorId="0" shapeId="0" xr:uid="{A85EC4D9-E30B-499D-B21A-3B88A50E4335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B2-1</t>
        </r>
      </text>
    </comment>
    <comment ref="J16" authorId="0" shapeId="0" xr:uid="{7C294428-0359-491E-AE8D-756CE18E23F0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Outputs of B4-1 (interpolation)</t>
        </r>
      </text>
    </comment>
  </commentList>
</comments>
</file>

<file path=xl/sharedStrings.xml><?xml version="1.0" encoding="utf-8"?>
<sst xmlns="http://schemas.openxmlformats.org/spreadsheetml/2006/main" count="129" uniqueCount="84">
  <si>
    <t>w</t>
  </si>
  <si>
    <t>h</t>
  </si>
  <si>
    <t>theta</t>
  </si>
  <si>
    <t>alpha</t>
  </si>
  <si>
    <t>E</t>
  </si>
  <si>
    <t>rho</t>
  </si>
  <si>
    <t>K</t>
  </si>
  <si>
    <t>T_sink</t>
  </si>
  <si>
    <t>Specifications</t>
  </si>
  <si>
    <t>L</t>
  </si>
  <si>
    <t>r_1</t>
  </si>
  <si>
    <t>r_2</t>
  </si>
  <si>
    <t>T_1</t>
  </si>
  <si>
    <t>T_2</t>
  </si>
  <si>
    <t>DV_1</t>
  </si>
  <si>
    <t>DV_2</t>
  </si>
  <si>
    <t>decided values</t>
  </si>
  <si>
    <t>target thresholds</t>
  </si>
  <si>
    <t>TT_1</t>
  </si>
  <si>
    <t>TT_2</t>
  </si>
  <si>
    <t>Excess</t>
  </si>
  <si>
    <t>E_1</t>
  </si>
  <si>
    <t>E_2</t>
  </si>
  <si>
    <t>Spec limit</t>
  </si>
  <si>
    <t>S1_E1</t>
  </si>
  <si>
    <t>S1_E2</t>
  </si>
  <si>
    <t>S2_E1</t>
  </si>
  <si>
    <t>S2_E2</t>
  </si>
  <si>
    <t>Max/Min</t>
  </si>
  <si>
    <t>new target thresholds</t>
  </si>
  <si>
    <t>Absobption</t>
  </si>
  <si>
    <t>Deterioration</t>
  </si>
  <si>
    <t>Sign</t>
  </si>
  <si>
    <t>w_nominal</t>
  </si>
  <si>
    <t>Intermediate calculations</t>
  </si>
  <si>
    <t>sigma_a</t>
  </si>
  <si>
    <t>sigma_m</t>
  </si>
  <si>
    <t>threshold_design</t>
  </si>
  <si>
    <t>w_thresh</t>
  </si>
  <si>
    <t>material</t>
  </si>
  <si>
    <t>design parameteres</t>
  </si>
  <si>
    <t>fixed parameters</t>
  </si>
  <si>
    <t>rho_threshold</t>
  </si>
  <si>
    <t>c_threshold</t>
  </si>
  <si>
    <t>Materials</t>
  </si>
  <si>
    <t>c</t>
  </si>
  <si>
    <t>sigma_y</t>
  </si>
  <si>
    <t>sigma_y_threshold</t>
  </si>
  <si>
    <t>weight</t>
  </si>
  <si>
    <t>cost</t>
  </si>
  <si>
    <t>performance parameters</t>
  </si>
  <si>
    <t>Intermediate parameters</t>
  </si>
  <si>
    <t>threshold performance parameters</t>
  </si>
  <si>
    <t>Impact of excess on performance</t>
  </si>
  <si>
    <t>E1</t>
  </si>
  <si>
    <t>E2</t>
  </si>
  <si>
    <t>Fixed parameters - Manuf. Calc</t>
  </si>
  <si>
    <t>C_energy</t>
  </si>
  <si>
    <t>W_mat</t>
  </si>
  <si>
    <t>Manufacturability</t>
  </si>
  <si>
    <t>E1 Threshold Interm. Param-Manuf cal</t>
  </si>
  <si>
    <t>W_mat_th_E1</t>
  </si>
  <si>
    <t>V_tot_th_E1</t>
  </si>
  <si>
    <t>E2 Threshold Interm. Param-Manuf cal</t>
  </si>
  <si>
    <t>V_tot_th_E2</t>
  </si>
  <si>
    <t>W_mat_th_E2</t>
  </si>
  <si>
    <t>Manufacturability - nominal</t>
  </si>
  <si>
    <t>manufacturability</t>
  </si>
  <si>
    <t>F_Loss</t>
  </si>
  <si>
    <t>F_Loss_energy</t>
  </si>
  <si>
    <t>T_room</t>
  </si>
  <si>
    <t>T_tap</t>
  </si>
  <si>
    <t>C_ac</t>
  </si>
  <si>
    <t>C_s</t>
  </si>
  <si>
    <t>C_ps</t>
  </si>
  <si>
    <t>C_pl</t>
  </si>
  <si>
    <t>T_melt (K)</t>
  </si>
  <si>
    <t>C_material</t>
  </si>
  <si>
    <t>C_unit_energy</t>
  </si>
  <si>
    <t>C_tooling</t>
  </si>
  <si>
    <t xml:space="preserve">V_cast </t>
  </si>
  <si>
    <t>C_ps_thresh</t>
  </si>
  <si>
    <t>C_pl_thresh</t>
  </si>
  <si>
    <t>T_melt_thresh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</si>
</sst>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1" xfId="0" applyBorder="1"/>
    <xf numFmtId="11" fontId="0" fillId="0" borderId="13" xfId="0" applyNumberFormat="1" applyBorder="1"/>
    <xf numFmtId="11" fontId="0" fillId="0" borderId="11" xfId="0" applyNumberFormat="1" applyBorder="1"/>
    <xf numFmtId="11" fontId="0" fillId="0" borderId="12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 applyBorder="1"/>
    <xf numFmtId="11" fontId="0" fillId="0" borderId="9" xfId="0" applyNumberFormat="1" applyBorder="1"/>
    <xf numFmtId="0" fontId="0" fillId="0" borderId="10" xfId="0" applyBorder="1"/>
    <xf numFmtId="0" fontId="0" fillId="0" borderId="3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Fill="1" applyBorder="1"/>
    <xf numFmtId="0" fontId="4" fillId="0" borderId="1" xfId="0" applyFont="1" applyBorder="1" applyAlignment="1"/>
    <xf numFmtId="0" fontId="4" fillId="0" borderId="5" xfId="0" applyFont="1" applyBorder="1" applyAlignment="1"/>
    <xf numFmtId="0" fontId="0" fillId="0" borderId="1" xfId="0" applyBorder="1" applyAlignment="1"/>
    <xf numFmtId="0" fontId="4" fillId="0" borderId="3" xfId="0" applyFont="1" applyBorder="1" applyAlignment="1"/>
    <xf numFmtId="0" fontId="0" fillId="0" borderId="0" xfId="0" applyFill="1" applyBorder="1"/>
    <xf numFmtId="0" fontId="0" fillId="0" borderId="10" xfId="0" applyFill="1" applyBorder="1"/>
    <xf numFmtId="0" fontId="0" fillId="0" borderId="14" xfId="0" applyFill="1" applyBorder="1"/>
    <xf numFmtId="0" fontId="4" fillId="0" borderId="0" xfId="0" applyFont="1" applyBorder="1" applyAlignment="1"/>
    <xf numFmtId="0" fontId="0" fillId="0" borderId="15" xfId="0" applyBorder="1"/>
    <xf numFmtId="0" fontId="4" fillId="0" borderId="0" xfId="0" applyFont="1" applyBorder="1"/>
    <xf numFmtId="0" fontId="4" fillId="0" borderId="9" xfId="0" applyFont="1" applyBorder="1" applyAlignme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/>
    <xf numFmtId="165" fontId="0" fillId="0" borderId="0" xfId="0" applyNumberFormat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1047750</xdr:colOff>
          <xdr:row>27</xdr:row>
          <xdr:rowOff>85725</xdr:rowOff>
        </xdr:from>
        <xdr:to>
          <xdr:col>19</xdr:col>
          <xdr:colOff>123825</xdr:colOff>
          <xdr:row>47</xdr:row>
          <xdr:rowOff>171450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60DB-5D9B-4E41-8AB5-2C470177AC99}">
  <dimension ref="A1:AA55"/>
  <sheetViews>
    <sheetView tabSelected="1" topLeftCell="B1" zoomScale="130" zoomScaleNormal="130" workbookViewId="0">
      <selection activeCell="O23" sqref="O23"/>
    </sheetView>
  </sheetViews>
  <sheetFormatPr defaultColWidth="8.85546875" defaultRowHeight="15" x14ac:dyDescent="0.25"/>
  <cols>
    <col min="1" max="1" width="24" bestFit="1" customWidth="1"/>
    <col min="2" max="2" width="12.85546875" bestFit="1" customWidth="1"/>
    <col min="3" max="3" width="14.85546875" customWidth="1"/>
    <col min="4" max="4" width="16.7109375" customWidth="1"/>
    <col min="5" max="7" width="19" customWidth="1"/>
    <col min="8" max="8" width="10" customWidth="1"/>
    <col min="9" max="9" width="16.140625" customWidth="1"/>
    <col min="10" max="10" width="32.140625" customWidth="1"/>
    <col min="12" max="12" width="6.28515625" customWidth="1"/>
    <col min="13" max="13" width="16.85546875" bestFit="1" customWidth="1"/>
    <col min="14" max="14" width="20.7109375" customWidth="1"/>
    <col min="17" max="17" width="11.5703125" customWidth="1"/>
    <col min="18" max="18" width="5.5703125" bestFit="1" customWidth="1"/>
    <col min="19" max="19" width="13.140625" bestFit="1" customWidth="1"/>
    <col min="20" max="20" width="7.85546875" customWidth="1"/>
    <col min="21" max="21" width="6.140625" bestFit="1" customWidth="1"/>
    <col min="22" max="23" width="13.140625" bestFit="1" customWidth="1"/>
    <col min="24" max="24" width="20.7109375" bestFit="1" customWidth="1"/>
    <col min="25" max="27" width="13.140625" bestFit="1" customWidth="1"/>
  </cols>
  <sheetData>
    <row r="1" spans="1:27" x14ac:dyDescent="0.25">
      <c r="A1" s="48" t="s">
        <v>40</v>
      </c>
      <c r="B1" s="49"/>
      <c r="I1" s="48" t="s">
        <v>16</v>
      </c>
      <c r="J1" s="49"/>
      <c r="L1" s="48" t="s">
        <v>50</v>
      </c>
      <c r="M1" s="50"/>
      <c r="N1" s="49"/>
      <c r="R1" s="48" t="s">
        <v>17</v>
      </c>
      <c r="S1" s="49"/>
      <c r="U1" s="48" t="s">
        <v>23</v>
      </c>
      <c r="V1" s="50"/>
      <c r="W1" s="13" t="s">
        <v>28</v>
      </c>
      <c r="X1" s="48" t="s">
        <v>29</v>
      </c>
      <c r="Y1" s="49"/>
      <c r="Z1" s="29" t="s">
        <v>31</v>
      </c>
      <c r="AA1" s="30" t="s">
        <v>30</v>
      </c>
    </row>
    <row r="2" spans="1:27" x14ac:dyDescent="0.25">
      <c r="A2" s="1" t="s">
        <v>0</v>
      </c>
      <c r="B2" s="11">
        <v>70</v>
      </c>
      <c r="I2" s="1" t="s">
        <v>14</v>
      </c>
      <c r="J2" s="11">
        <f>((PI()^2)*E*w*(h^3))/(12*(K*L)^2)</f>
        <v>366614.79000277672</v>
      </c>
      <c r="L2" s="56" t="s">
        <v>48</v>
      </c>
      <c r="M2" s="57"/>
      <c r="N2" s="11">
        <f>rho*w*h*L</f>
        <v>1.6500670742421315</v>
      </c>
      <c r="R2" s="1" t="s">
        <v>18</v>
      </c>
      <c r="S2" s="11">
        <f t="array" ref="S2">E*w_nominal*h*alpha*(T_2*r_2 - T_1*r_1-T_sink*(r_2-r_1))*COS(RADIANS(theta))/L</f>
        <v>348578.57735674939</v>
      </c>
      <c r="U2" s="1" t="s">
        <v>24</v>
      </c>
      <c r="V2" s="7">
        <f>-J2*L /(r_1 *E*w_nominal*h*alpha*COS(RADIANS(theta))) + ((T_2*r_2)/r_1) - (T_sink*(r_2-r_1)/r_1)</f>
        <v>439.94462194621377</v>
      </c>
      <c r="W2" s="16">
        <f>MAX(V2:V3)</f>
        <v>439.94462194621377</v>
      </c>
      <c r="X2" s="1" t="s">
        <v>18</v>
      </c>
      <c r="Y2" s="2">
        <f>E*w_nominal*h*alpha*(T_2*r_2 - W2*r_1-T_sink*(r_2-r_1))*COS(RADIANS(theta))/L</f>
        <v>366614.79000277678</v>
      </c>
      <c r="Z2" s="5">
        <f>MAX(C33*(W2-T_1)/T_1,0)</f>
        <v>2.2345284563969395E-2</v>
      </c>
      <c r="AA2" s="6">
        <f>IF(Z2=0,0,ABS(Y2-J6)/(J6*Z2))</f>
        <v>2.3155745312789975</v>
      </c>
    </row>
    <row r="3" spans="1:27" x14ac:dyDescent="0.25">
      <c r="A3" s="3" t="s">
        <v>39</v>
      </c>
      <c r="B3" s="17">
        <v>2</v>
      </c>
      <c r="I3" s="3" t="s">
        <v>15</v>
      </c>
      <c r="J3" s="17">
        <f>LOOKUP(material,A41:A43,B41:B43)</f>
        <v>460</v>
      </c>
      <c r="L3" s="58" t="s">
        <v>49</v>
      </c>
      <c r="M3" s="59"/>
      <c r="N3" s="17">
        <f>rho*c_d*w*h*L</f>
        <v>0.75903085415138072</v>
      </c>
      <c r="R3" s="3" t="s">
        <v>19</v>
      </c>
      <c r="S3" s="17">
        <f>MAX(B37:B38)</f>
        <v>387.30953039638825</v>
      </c>
      <c r="U3" s="1" t="s">
        <v>25</v>
      </c>
      <c r="V3" s="7">
        <f>-J3*L /(r_1  *E*alpha*COS(RADIANS(theta))) + ((T_2*r_2)/r_1) - (T_sink*(r_2-r_1)/r_1)</f>
        <v>413.52686950387516</v>
      </c>
      <c r="W3" s="14"/>
      <c r="X3" s="1" t="s">
        <v>19</v>
      </c>
      <c r="Y3" s="2">
        <f>E*alpha*(T_2*r_2 - W2*r_1-T_sink*(r_2-r_1))*COS(RADIANS(theta))/L</f>
        <v>407.349766669752</v>
      </c>
      <c r="Z3" s="5">
        <f>MAX(C33*(W2-T_1)/T_1,0)</f>
        <v>2.2345284563969395E-2</v>
      </c>
      <c r="AA3" s="6">
        <f>IF(Z3=0,0,ABS(Y3-J7)/(J7*Z3))</f>
        <v>2.3155745312789953</v>
      </c>
    </row>
    <row r="4" spans="1:27" x14ac:dyDescent="0.25">
      <c r="A4" s="7"/>
      <c r="B4" s="7"/>
      <c r="I4" s="7"/>
      <c r="J4" s="7"/>
      <c r="L4" s="51" t="s">
        <v>67</v>
      </c>
      <c r="M4" s="52"/>
      <c r="N4" s="18">
        <f>manu_nominal</f>
        <v>89392.203553413929</v>
      </c>
      <c r="U4" s="1" t="s">
        <v>26</v>
      </c>
      <c r="V4" s="7">
        <f>J2*L /(r_2 *E*w_nominal*h*alpha*COS(RADIANS(theta))) + ((T_1*r_1)/r_2) + (T_sink*(r_2-r_1)/r_2)</f>
        <v>431.49429356129895</v>
      </c>
      <c r="W4" s="14">
        <f>MIN(V4:V5)</f>
        <v>431.49429356129895</v>
      </c>
      <c r="X4" s="1" t="s">
        <v>18</v>
      </c>
      <c r="Y4" s="2">
        <f>E*w_nominal*h*alpha*(W4*r_2 - T_1*r_1-T_sink*(r_2-r_1))*COS(RADIANS(theta))/L</f>
        <v>366614.7900027766</v>
      </c>
      <c r="Z4" s="5">
        <f>MAX(C34*(W4-T_2)/T_2,0)</f>
        <v>1.5280690732468108E-2</v>
      </c>
      <c r="AA4" s="6">
        <f>IF(Z4=0,0,ABS(Y4-J6)/(J6*Z4))</f>
        <v>3.3861147206237221</v>
      </c>
    </row>
    <row r="5" spans="1:27" x14ac:dyDescent="0.25">
      <c r="A5" s="48" t="s">
        <v>51</v>
      </c>
      <c r="B5" s="49"/>
      <c r="I5" s="23" t="s">
        <v>17</v>
      </c>
      <c r="J5" s="24"/>
      <c r="L5" s="48" t="s">
        <v>52</v>
      </c>
      <c r="M5" s="50"/>
      <c r="N5" s="49"/>
      <c r="R5" s="12" t="s">
        <v>20</v>
      </c>
      <c r="S5" s="13"/>
      <c r="U5" s="3" t="s">
        <v>27</v>
      </c>
      <c r="V5" s="8">
        <f>J3*L /(r_2 *E*alpha*COS(RADIANS(theta))) + ((T_1*r_1)/r_2) + (T_sink*(r_2-r_1)/r_2)</f>
        <v>448.55627160653728</v>
      </c>
      <c r="W5" s="15"/>
      <c r="X5" s="3" t="s">
        <v>19</v>
      </c>
      <c r="Y5" s="4">
        <f>E*alpha*(W4*r_2 - T_1*r_1-T_sink*(r_2-r_1))*COS(RADIANS(theta))/L</f>
        <v>407.34976666975183</v>
      </c>
      <c r="Z5" s="10">
        <f>MAX(C34*(W4-T_2)/T_2,0)</f>
        <v>1.5280690732468108E-2</v>
      </c>
      <c r="AA5" s="9">
        <f>IF(Z5=0,0,ABS(Y5-J7)/(J7*Z5))</f>
        <v>3.3861147206237225</v>
      </c>
    </row>
    <row r="6" spans="1:27" x14ac:dyDescent="0.25">
      <c r="A6" s="5" t="s">
        <v>5</v>
      </c>
      <c r="B6" s="11">
        <f>LOOKUP(material,A41:A43,C41:C43)</f>
        <v>8.1899999999999995E-6</v>
      </c>
      <c r="I6" s="1" t="s">
        <v>18</v>
      </c>
      <c r="J6" s="11">
        <f t="array" ref="J6">E*w_nominal*h*alpha*(T_2*r_2 - T_1*r_1-T_sink*(r_2-r_1))*COS(RADIANS(theta))/L</f>
        <v>348578.57735674939</v>
      </c>
      <c r="L6" s="11" t="s">
        <v>54</v>
      </c>
      <c r="M6" s="1" t="s">
        <v>48</v>
      </c>
      <c r="N6" s="11">
        <f>rho*w_thresh*h*L</f>
        <v>1.568889332801275</v>
      </c>
      <c r="R6" s="1" t="s">
        <v>21</v>
      </c>
      <c r="S6" s="11">
        <f>$J$2-S2</f>
        <v>18036.212646027328</v>
      </c>
    </row>
    <row r="7" spans="1:27" x14ac:dyDescent="0.25">
      <c r="A7" s="1" t="s">
        <v>45</v>
      </c>
      <c r="B7" s="19">
        <f>LOOKUP(material,A41:A43,D41:D43)</f>
        <v>0.46</v>
      </c>
      <c r="I7" s="3" t="s">
        <v>19</v>
      </c>
      <c r="J7" s="17">
        <f>MAX(B37:B38)</f>
        <v>387.30953039638825</v>
      </c>
      <c r="L7" s="19" t="s">
        <v>54</v>
      </c>
      <c r="M7" s="1" t="s">
        <v>49</v>
      </c>
      <c r="N7" s="19">
        <f>rho*c_d*w_thresh*h*L</f>
        <v>0.72168909308858664</v>
      </c>
      <c r="R7" s="3" t="s">
        <v>22</v>
      </c>
      <c r="S7" s="17">
        <f>$J$3-S3</f>
        <v>72.690469603611746</v>
      </c>
    </row>
    <row r="8" spans="1:27" x14ac:dyDescent="0.25">
      <c r="A8" s="28" t="s">
        <v>74</v>
      </c>
      <c r="B8" s="19">
        <f>LOOKUP(material,A41:A43,E41:E43)</f>
        <v>0.4889</v>
      </c>
      <c r="L8" s="19" t="s">
        <v>54</v>
      </c>
      <c r="M8" s="1" t="s">
        <v>67</v>
      </c>
      <c r="N8" s="19">
        <f>manu_th_E1</f>
        <v>85000.724173257346</v>
      </c>
    </row>
    <row r="9" spans="1:27" x14ac:dyDescent="0.25">
      <c r="A9" s="28" t="s">
        <v>76</v>
      </c>
      <c r="B9" s="19">
        <f>LOOKUP(material,A41:A43,F41:F43)</f>
        <v>1806</v>
      </c>
      <c r="I9" s="23" t="s">
        <v>20</v>
      </c>
      <c r="J9" s="24"/>
      <c r="L9" s="11" t="s">
        <v>55</v>
      </c>
      <c r="M9" s="5" t="s">
        <v>48</v>
      </c>
      <c r="N9" s="11">
        <f>rho_t*w*h*L</f>
        <v>1.7997027665947769</v>
      </c>
    </row>
    <row r="10" spans="1:27" x14ac:dyDescent="0.25">
      <c r="A10" s="62" t="s">
        <v>75</v>
      </c>
      <c r="B10" s="17">
        <f>LOOKUP(material,A41:A43,G41:G43)</f>
        <v>0.6915</v>
      </c>
      <c r="I10" s="1" t="s">
        <v>21</v>
      </c>
      <c r="J10" s="11">
        <f>$J$2-J6</f>
        <v>18036.212646027328</v>
      </c>
      <c r="L10" s="19" t="s">
        <v>55</v>
      </c>
      <c r="M10" s="1" t="s">
        <v>49</v>
      </c>
      <c r="N10" s="19">
        <f>rho_t*c_d_t*w*h*L</f>
        <v>0.60034807393673906</v>
      </c>
    </row>
    <row r="11" spans="1:27" x14ac:dyDescent="0.25">
      <c r="I11" s="3" t="s">
        <v>22</v>
      </c>
      <c r="J11" s="17">
        <f>$J$3-J7</f>
        <v>72.690469603611746</v>
      </c>
      <c r="L11" s="17" t="s">
        <v>55</v>
      </c>
      <c r="M11" s="3" t="s">
        <v>67</v>
      </c>
      <c r="N11" s="17">
        <f>manu_th_E2</f>
        <v>95718.700214986122</v>
      </c>
    </row>
    <row r="12" spans="1:27" x14ac:dyDescent="0.25">
      <c r="A12" s="48" t="s">
        <v>41</v>
      </c>
      <c r="B12" s="49"/>
      <c r="L12" s="53" t="s">
        <v>53</v>
      </c>
      <c r="M12" s="54"/>
      <c r="N12" s="55"/>
    </row>
    <row r="13" spans="1:27" x14ac:dyDescent="0.25">
      <c r="A13" s="1" t="s">
        <v>1</v>
      </c>
      <c r="B13" s="19">
        <v>15</v>
      </c>
      <c r="I13" s="23" t="s">
        <v>37</v>
      </c>
      <c r="J13" s="24"/>
      <c r="L13" s="1" t="s">
        <v>54</v>
      </c>
      <c r="M13" s="1" t="s">
        <v>48</v>
      </c>
      <c r="N13" s="11">
        <f>(N2- N6)/N6</f>
        <v>5.1742171830509227E-2</v>
      </c>
    </row>
    <row r="14" spans="1:27" x14ac:dyDescent="0.25">
      <c r="A14" s="3" t="s">
        <v>2</v>
      </c>
      <c r="B14" s="17">
        <v>10</v>
      </c>
      <c r="I14" s="5" t="s">
        <v>38</v>
      </c>
      <c r="J14" s="11">
        <f>J6 / (((PI()^2) * E * (h^3)) / (12 * ((K * L)^2)))</f>
        <v>66.556235810311009</v>
      </c>
      <c r="L14" s="1" t="s">
        <v>54</v>
      </c>
      <c r="M14" s="1" t="s">
        <v>49</v>
      </c>
      <c r="N14" s="11">
        <f t="shared" ref="N14:N15" si="0">(N3- N7)/N7</f>
        <v>5.1742171830509304E-2</v>
      </c>
    </row>
    <row r="15" spans="1:27" x14ac:dyDescent="0.25">
      <c r="A15" s="5" t="s">
        <v>3</v>
      </c>
      <c r="B15" s="20">
        <v>7.17E-6</v>
      </c>
      <c r="I15" s="1" t="s">
        <v>47</v>
      </c>
      <c r="J15" s="19">
        <f>$J$3-J11</f>
        <v>387.30953039638825</v>
      </c>
      <c r="L15" s="3" t="s">
        <v>54</v>
      </c>
      <c r="M15" s="3" t="s">
        <v>67</v>
      </c>
      <c r="N15" s="11">
        <f t="shared" si="0"/>
        <v>5.1664023134737197E-2</v>
      </c>
    </row>
    <row r="16" spans="1:27" x14ac:dyDescent="0.25">
      <c r="A16" s="1" t="s">
        <v>4</v>
      </c>
      <c r="B16" s="21">
        <v>156300</v>
      </c>
      <c r="I16" s="28" t="s">
        <v>42</v>
      </c>
      <c r="J16" s="19">
        <f>_xlfn.FORECAST.LINEAR($J$15,C42:C43,B42:B43)</f>
        <v>8.9327069720369022E-6</v>
      </c>
      <c r="L16" s="1" t="s">
        <v>55</v>
      </c>
      <c r="M16" s="5" t="s">
        <v>48</v>
      </c>
      <c r="N16" s="11">
        <f>(N2 - N9)/N9</f>
        <v>-8.314466984777244E-2</v>
      </c>
    </row>
    <row r="17" spans="1:14" x14ac:dyDescent="0.25">
      <c r="A17" s="1" t="s">
        <v>10</v>
      </c>
      <c r="B17" s="21">
        <v>346.5</v>
      </c>
      <c r="I17" s="28" t="s">
        <v>43</v>
      </c>
      <c r="J17" s="19">
        <f>_xlfn.FORECAST.LINEAR($J$15,D42:D43,B42:B43)</f>
        <v>0.33358179199371873</v>
      </c>
      <c r="L17" s="1" t="s">
        <v>55</v>
      </c>
      <c r="M17" s="1" t="s">
        <v>49</v>
      </c>
      <c r="N17" s="11">
        <f t="shared" ref="N17:N18" si="1">(N3 - N10)/N10</f>
        <v>0.26431796336763574</v>
      </c>
    </row>
    <row r="18" spans="1:14" x14ac:dyDescent="0.25">
      <c r="A18" s="1" t="s">
        <v>11</v>
      </c>
      <c r="B18" s="21">
        <v>536.5</v>
      </c>
      <c r="I18" s="3" t="s">
        <v>83</v>
      </c>
      <c r="J18" s="19">
        <f>_xlfn.FORECAST.LINEAR($J$15,F42:F43,B42:B43)</f>
        <v>1779.3336592486751</v>
      </c>
      <c r="L18" s="3" t="s">
        <v>55</v>
      </c>
      <c r="M18" s="3" t="s">
        <v>67</v>
      </c>
      <c r="N18" s="11">
        <f t="shared" si="1"/>
        <v>-6.6094677919390415E-2</v>
      </c>
    </row>
    <row r="19" spans="1:14" x14ac:dyDescent="0.25">
      <c r="A19" s="1" t="s">
        <v>6</v>
      </c>
      <c r="B19" s="21">
        <v>1.5</v>
      </c>
      <c r="I19" s="3" t="s">
        <v>82</v>
      </c>
      <c r="J19" s="19">
        <f>_xlfn.FORECAST.LINEAR($J$15,G42:G43,B42:B43)</f>
        <v>0.67994458567442584</v>
      </c>
    </row>
    <row r="20" spans="1:14" x14ac:dyDescent="0.25">
      <c r="A20" s="1" t="s">
        <v>7</v>
      </c>
      <c r="B20" s="21">
        <v>25</v>
      </c>
      <c r="I20" s="3" t="s">
        <v>81</v>
      </c>
      <c r="J20" s="17">
        <f>_xlfn.FORECAST.LINEAR($J$15,E42:E43,B42:B43)</f>
        <v>0.47623842635437086</v>
      </c>
    </row>
    <row r="21" spans="1:14" x14ac:dyDescent="0.25">
      <c r="A21" s="3" t="s">
        <v>33</v>
      </c>
      <c r="B21" s="22">
        <v>60</v>
      </c>
    </row>
    <row r="22" spans="1:14" x14ac:dyDescent="0.25">
      <c r="A22" s="18" t="s">
        <v>9</v>
      </c>
      <c r="B22" s="18">
        <f>-r_1*COS(RADIANS(theta)) + SQRT(r_2^2 - (r_1 * SIN(RADIANS(theta)))^2)</f>
        <v>191.87942022700526</v>
      </c>
      <c r="I22" s="48" t="s">
        <v>66</v>
      </c>
      <c r="J22" s="49"/>
    </row>
    <row r="23" spans="1:14" x14ac:dyDescent="0.25">
      <c r="A23" s="48" t="s">
        <v>56</v>
      </c>
      <c r="B23" s="49"/>
      <c r="I23" s="19" t="s">
        <v>77</v>
      </c>
      <c r="J23" s="19">
        <f>c_d*W_mat*F_Loss</f>
        <v>0.83721103212897263</v>
      </c>
    </row>
    <row r="24" spans="1:14" x14ac:dyDescent="0.25">
      <c r="A24" s="18" t="s">
        <v>68</v>
      </c>
      <c r="B24" s="18">
        <v>1.103</v>
      </c>
      <c r="I24" s="17" t="s">
        <v>58</v>
      </c>
      <c r="J24" s="17">
        <f>rho*w*h*L</f>
        <v>1.6500670742421315</v>
      </c>
    </row>
    <row r="25" spans="1:14" x14ac:dyDescent="0.25">
      <c r="A25" s="19" t="s">
        <v>69</v>
      </c>
      <c r="B25" s="19">
        <v>1.9314</v>
      </c>
      <c r="I25" s="19" t="s">
        <v>57</v>
      </c>
      <c r="J25" s="19">
        <f>C_energy*W_mat*f_loss_E*(C_ps*(T_melt-t_room)+C_pl*(T_tap-T_melt))</f>
        <v>89262.969380866707</v>
      </c>
      <c r="L25" s="32"/>
      <c r="M25" s="32"/>
    </row>
    <row r="26" spans="1:14" x14ac:dyDescent="0.25">
      <c r="A26" s="19" t="s">
        <v>70</v>
      </c>
      <c r="B26" s="19">
        <v>295.2</v>
      </c>
      <c r="I26" s="17" t="s">
        <v>79</v>
      </c>
      <c r="J26" s="17">
        <f>EXP((0.629*(V_cast/10^9))+(0.048*C_ac)+(0.023*C_s)+0.739)</f>
        <v>128.39696151508036</v>
      </c>
      <c r="L26" s="32"/>
      <c r="M26" s="32"/>
    </row>
    <row r="27" spans="1:14" x14ac:dyDescent="0.25">
      <c r="A27" s="19" t="s">
        <v>71</v>
      </c>
      <c r="B27" s="19">
        <v>2088</v>
      </c>
      <c r="I27" s="38" t="s">
        <v>80</v>
      </c>
      <c r="J27" s="11">
        <f>w*h*L</f>
        <v>201473.39123835551</v>
      </c>
      <c r="L27" s="32"/>
      <c r="M27" s="32"/>
    </row>
    <row r="28" spans="1:14" x14ac:dyDescent="0.25">
      <c r="A28" s="19" t="s">
        <v>72</v>
      </c>
      <c r="B28" s="19">
        <v>80</v>
      </c>
      <c r="I28" s="39" t="s">
        <v>59</v>
      </c>
      <c r="J28" s="19">
        <f>C_mat+C_ener+C_tool</f>
        <v>89392.203553413929</v>
      </c>
      <c r="L28" s="32"/>
      <c r="M28" s="32"/>
    </row>
    <row r="29" spans="1:14" x14ac:dyDescent="0.25">
      <c r="A29" s="19" t="s">
        <v>78</v>
      </c>
      <c r="B29" s="19">
        <v>30</v>
      </c>
      <c r="I29" s="43"/>
      <c r="J29" s="1"/>
      <c r="L29" s="32"/>
      <c r="M29" s="32"/>
    </row>
    <row r="30" spans="1:14" x14ac:dyDescent="0.25">
      <c r="A30" s="35" t="s">
        <v>73</v>
      </c>
      <c r="B30" s="17">
        <v>12</v>
      </c>
      <c r="I30" s="48" t="s">
        <v>60</v>
      </c>
      <c r="J30" s="49"/>
      <c r="L30" s="32"/>
      <c r="M30" s="32"/>
    </row>
    <row r="31" spans="1:14" x14ac:dyDescent="0.25">
      <c r="A31" s="40"/>
      <c r="B31" s="40"/>
      <c r="I31" s="1" t="s">
        <v>77</v>
      </c>
      <c r="J31" s="11">
        <f>c_d*W_mat_th_E1*F_Loss</f>
        <v>0.79602306967671088</v>
      </c>
      <c r="L31" s="32"/>
      <c r="M31" s="32"/>
    </row>
    <row r="32" spans="1:14" x14ac:dyDescent="0.25">
      <c r="A32" s="33" t="s">
        <v>8</v>
      </c>
      <c r="B32" s="34"/>
      <c r="C32" s="11" t="s">
        <v>32</v>
      </c>
      <c r="I32" s="1" t="s">
        <v>57</v>
      </c>
      <c r="J32" s="19">
        <f>C_energy*W_mat_th_E1*f_loss_E*(C_ps*(T_melt-t_room)+C_pl*(T_tap-T_melt))</f>
        <v>84871.531989164781</v>
      </c>
      <c r="L32" s="32"/>
      <c r="M32" s="32"/>
    </row>
    <row r="33" spans="1:14" x14ac:dyDescent="0.25">
      <c r="A33" s="5" t="s">
        <v>12</v>
      </c>
      <c r="B33" s="16">
        <v>450</v>
      </c>
      <c r="C33" s="11">
        <v>-1</v>
      </c>
      <c r="I33" s="1" t="s">
        <v>62</v>
      </c>
      <c r="J33" s="19">
        <f>w_thresh*h*L</f>
        <v>191561.57909661482</v>
      </c>
      <c r="L33" s="32"/>
      <c r="M33" s="32"/>
    </row>
    <row r="34" spans="1:14" x14ac:dyDescent="0.25">
      <c r="A34" s="3" t="s">
        <v>13</v>
      </c>
      <c r="B34" s="15">
        <v>425</v>
      </c>
      <c r="C34" s="17">
        <v>1</v>
      </c>
      <c r="I34" s="1" t="s">
        <v>61</v>
      </c>
      <c r="J34" s="19">
        <f>rho*w_thresh*h*L</f>
        <v>1.568889332801275</v>
      </c>
      <c r="L34" s="32"/>
      <c r="M34" s="32"/>
    </row>
    <row r="35" spans="1:14" x14ac:dyDescent="0.25">
      <c r="I35" s="1" t="s">
        <v>79</v>
      </c>
      <c r="J35" s="19">
        <f>EXP((0.629*(V_tot_th/10^9))+(0.048*C_ac)+(0.023*C_s)+0.739)</f>
        <v>128.39616102288812</v>
      </c>
      <c r="L35" s="32"/>
      <c r="M35" s="32"/>
    </row>
    <row r="36" spans="1:14" x14ac:dyDescent="0.25">
      <c r="A36" s="33" t="s">
        <v>34</v>
      </c>
      <c r="B36" s="34"/>
      <c r="D36" s="7"/>
      <c r="E36" s="7"/>
      <c r="F36" s="7"/>
      <c r="G36" s="7"/>
      <c r="I36" s="36" t="s">
        <v>59</v>
      </c>
      <c r="J36" s="19">
        <f>C_mat_E1+C_ener_E1+C_tool_E1</f>
        <v>85000.724173257346</v>
      </c>
      <c r="L36" s="32"/>
      <c r="M36" s="32"/>
    </row>
    <row r="37" spans="1:14" x14ac:dyDescent="0.25">
      <c r="A37" s="11" t="s">
        <v>35</v>
      </c>
      <c r="B37" s="11">
        <f>E*alpha*(T_2*r_2 - T_1*r_1-T_sink*(r_2-r_1))*COS(RADIANS(theta))/L</f>
        <v>387.30953039638825</v>
      </c>
      <c r="D37" s="7"/>
      <c r="E37" s="7"/>
      <c r="F37" s="7"/>
      <c r="G37" s="7"/>
      <c r="I37" s="46"/>
      <c r="J37" s="3"/>
    </row>
    <row r="38" spans="1:14" x14ac:dyDescent="0.25">
      <c r="A38" s="17" t="s">
        <v>36</v>
      </c>
      <c r="B38" s="17">
        <f>1.5*E*h*alpha*(T_2*r_2 - T_1*r_1-T_sink*(r_2-r_1))*SIN(RADIANS(theta))/(L^2)</f>
        <v>8.0081292736151966</v>
      </c>
      <c r="D38" s="7"/>
      <c r="E38" s="7"/>
      <c r="F38" s="7"/>
      <c r="G38" s="7"/>
      <c r="I38" s="48" t="s">
        <v>63</v>
      </c>
      <c r="J38" s="49"/>
    </row>
    <row r="39" spans="1:14" x14ac:dyDescent="0.25">
      <c r="D39" s="7"/>
      <c r="E39" s="7"/>
      <c r="F39" s="7"/>
      <c r="G39" s="7"/>
      <c r="I39" s="1" t="s">
        <v>77</v>
      </c>
      <c r="J39" s="11">
        <f>c_d_t*W_mat_th_E2*F_Loss</f>
        <v>0.66218392555222316</v>
      </c>
    </row>
    <row r="40" spans="1:14" x14ac:dyDescent="0.25">
      <c r="A40" s="10" t="s">
        <v>44</v>
      </c>
      <c r="B40" s="10" t="s">
        <v>46</v>
      </c>
      <c r="C40" s="27" t="s">
        <v>5</v>
      </c>
      <c r="D40" s="27" t="s">
        <v>45</v>
      </c>
      <c r="E40" s="41" t="s">
        <v>74</v>
      </c>
      <c r="F40" s="41" t="s">
        <v>76</v>
      </c>
      <c r="G40" s="42" t="s">
        <v>75</v>
      </c>
      <c r="I40" s="1" t="s">
        <v>57</v>
      </c>
      <c r="J40" s="19">
        <f>C_energy*W_mat_th_E2*f_loss_E*(C_ps_thresh*(T_melt_thresh-t_room)+C_pl_thresh*(T_tap-T_melt_thresh))</f>
        <v>95589.641069545483</v>
      </c>
    </row>
    <row r="41" spans="1:14" x14ac:dyDescent="0.25">
      <c r="A41" s="1">
        <v>1</v>
      </c>
      <c r="B41" s="5">
        <v>92</v>
      </c>
      <c r="C41" s="44">
        <f>_xlfn.FORECAST.LINEAR(B41,C42:C43,B42:B43)</f>
        <v>1.1949999999999999E-5</v>
      </c>
      <c r="D41" s="44">
        <f>_xlfn.FORECAST.LINEAR(B41,D42:D43,B42:B43)</f>
        <v>-0.18000000000000005</v>
      </c>
      <c r="E41" s="44">
        <f>_xlfn.FORECAST.LINEAR(B41,E42:E43,B42:B43)</f>
        <v>0.42479999999999996</v>
      </c>
      <c r="F41" s="44">
        <f>_xlfn.FORECAST.LINEAR(B41,F42:F43,B42:B43)</f>
        <v>1671</v>
      </c>
      <c r="G41" s="6">
        <f>_xlfn.FORECAST.LINEAR(B41,G42:G43,B42:B43)</f>
        <v>0.63300000000000001</v>
      </c>
      <c r="I41" s="1" t="s">
        <v>64</v>
      </c>
      <c r="J41" s="19">
        <f>w*h*L</f>
        <v>201473.39123835551</v>
      </c>
    </row>
    <row r="42" spans="1:14" x14ac:dyDescent="0.25">
      <c r="A42" s="1">
        <v>2</v>
      </c>
      <c r="B42" s="1">
        <v>460</v>
      </c>
      <c r="C42" s="25">
        <v>8.1899999999999995E-6</v>
      </c>
      <c r="D42" s="7">
        <v>0.46</v>
      </c>
      <c r="E42" s="40">
        <v>0.4889</v>
      </c>
      <c r="F42" s="40">
        <v>1806</v>
      </c>
      <c r="G42" s="60">
        <v>0.6915</v>
      </c>
      <c r="I42" s="3" t="s">
        <v>65</v>
      </c>
      <c r="J42" s="17">
        <f>rho_t*w*h*L</f>
        <v>1.7997027665947769</v>
      </c>
    </row>
    <row r="43" spans="1:14" x14ac:dyDescent="0.25">
      <c r="A43" s="3">
        <v>3</v>
      </c>
      <c r="B43" s="3">
        <v>828</v>
      </c>
      <c r="C43" s="26">
        <v>4.4299999999999999E-6</v>
      </c>
      <c r="D43" s="8">
        <v>1.1000000000000001</v>
      </c>
      <c r="E43" s="8">
        <v>0.55300000000000005</v>
      </c>
      <c r="F43" s="8">
        <v>1941</v>
      </c>
      <c r="G43" s="4">
        <v>0.75</v>
      </c>
      <c r="I43" s="5" t="s">
        <v>79</v>
      </c>
      <c r="J43" s="11">
        <f>EXP((0.629*(V_tot_th_E2/10^9))+(0.048*C_ac)+(0.023*C_s)+0.739)</f>
        <v>128.39696151508036</v>
      </c>
      <c r="L43" s="47"/>
      <c r="M43" s="47"/>
      <c r="N43" s="47"/>
    </row>
    <row r="44" spans="1:14" x14ac:dyDescent="0.25">
      <c r="D44" s="7"/>
      <c r="E44" s="7"/>
      <c r="F44" s="7"/>
      <c r="G44" s="7"/>
      <c r="I44" s="37" t="s">
        <v>59</v>
      </c>
      <c r="J44" s="17">
        <f>C_mat_E2+C_ener_E2+C_tool_E2</f>
        <v>95718.700214986122</v>
      </c>
      <c r="L44" s="47"/>
      <c r="M44" s="47"/>
    </row>
    <row r="45" spans="1:14" x14ac:dyDescent="0.25">
      <c r="H45" s="7"/>
      <c r="I45" s="7"/>
      <c r="J45" s="7"/>
      <c r="L45" s="32"/>
      <c r="M45" s="32"/>
    </row>
    <row r="46" spans="1:14" ht="17.25" customHeight="1" x14ac:dyDescent="0.25">
      <c r="H46" s="7"/>
      <c r="I46" s="7"/>
      <c r="J46" s="7"/>
      <c r="L46" s="32"/>
      <c r="M46" s="32"/>
    </row>
    <row r="47" spans="1:14" ht="17.25" customHeight="1" x14ac:dyDescent="0.25">
      <c r="H47" s="7"/>
      <c r="I47" s="45"/>
      <c r="J47" s="7"/>
      <c r="L47" s="32"/>
      <c r="M47" s="32"/>
    </row>
    <row r="48" spans="1:14" ht="17.25" customHeight="1" x14ac:dyDescent="0.25">
      <c r="H48" s="7"/>
      <c r="I48" s="45"/>
      <c r="J48" s="7"/>
      <c r="L48" s="32"/>
      <c r="M48" s="32"/>
    </row>
    <row r="49" spans="4:14" ht="17.25" customHeight="1" x14ac:dyDescent="0.25">
      <c r="H49" s="40"/>
      <c r="I49" s="43"/>
      <c r="J49" s="7"/>
      <c r="L49" s="32"/>
      <c r="M49" s="32"/>
    </row>
    <row r="50" spans="4:14" ht="17.25" customHeight="1" x14ac:dyDescent="0.25">
      <c r="D50" s="61"/>
      <c r="E50" s="61"/>
      <c r="F50" s="61"/>
      <c r="G50" s="61"/>
      <c r="H50" s="7"/>
    </row>
    <row r="51" spans="4:14" x14ac:dyDescent="0.25">
      <c r="D51" s="61"/>
      <c r="E51" s="61"/>
      <c r="F51" s="61"/>
      <c r="G51" s="61"/>
      <c r="H51" s="40"/>
      <c r="L51" s="47"/>
      <c r="M51" s="47"/>
      <c r="N51" s="47"/>
    </row>
    <row r="52" spans="4:14" x14ac:dyDescent="0.25">
      <c r="D52" s="61"/>
      <c r="E52" s="61"/>
      <c r="F52" s="61"/>
      <c r="G52" s="61"/>
      <c r="H52" s="2"/>
      <c r="L52" s="31"/>
    </row>
    <row r="55" spans="4:14" x14ac:dyDescent="0.25">
      <c r="L55" s="47"/>
      <c r="M55" s="47"/>
      <c r="N55" s="47"/>
    </row>
  </sheetData>
  <mergeCells count="21">
    <mergeCell ref="X1:Y1"/>
    <mergeCell ref="L5:N5"/>
    <mergeCell ref="L12:N12"/>
    <mergeCell ref="L2:M2"/>
    <mergeCell ref="L3:M3"/>
    <mergeCell ref="L55:N55"/>
    <mergeCell ref="A12:B12"/>
    <mergeCell ref="U1:V1"/>
    <mergeCell ref="I1:J1"/>
    <mergeCell ref="R1:S1"/>
    <mergeCell ref="A1:B1"/>
    <mergeCell ref="L1:N1"/>
    <mergeCell ref="A5:B5"/>
    <mergeCell ref="L43:N43"/>
    <mergeCell ref="L44:M44"/>
    <mergeCell ref="L51:N51"/>
    <mergeCell ref="A23:B23"/>
    <mergeCell ref="I22:J22"/>
    <mergeCell ref="I30:J30"/>
    <mergeCell ref="I38:J38"/>
    <mergeCell ref="L4:M4"/>
  </mergeCells>
  <phoneticPr fontId="1" type="noConversion"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Visio.Drawing.15" shapeId="1045" r:id="rId4">
          <objectPr defaultSize="0" autoPict="0" r:id="rId5">
            <anchor moveWithCells="1">
              <from>
                <xdr:col>12</xdr:col>
                <xdr:colOff>1047750</xdr:colOff>
                <xdr:row>27</xdr:row>
                <xdr:rowOff>85725</xdr:rowOff>
              </from>
              <to>
                <xdr:col>19</xdr:col>
                <xdr:colOff>123825</xdr:colOff>
                <xdr:row>47</xdr:row>
                <xdr:rowOff>171450</xdr:rowOff>
              </to>
            </anchor>
          </objectPr>
        </oleObject>
      </mc:Choice>
      <mc:Fallback>
        <oleObject progId="Visio.Drawing.15" shapeId="10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Sheet1</vt:lpstr>
      <vt:lpstr>alpha</vt:lpstr>
      <vt:lpstr>C_ac</vt:lpstr>
      <vt:lpstr>c_d</vt:lpstr>
      <vt:lpstr>c_d_t</vt:lpstr>
      <vt:lpstr>C_ener</vt:lpstr>
      <vt:lpstr>C_ener_E1</vt:lpstr>
      <vt:lpstr>C_ener_E2</vt:lpstr>
      <vt:lpstr>C_energy</vt:lpstr>
      <vt:lpstr>C_exec_E2</vt:lpstr>
      <vt:lpstr>C_manufacturing_th_E2</vt:lpstr>
      <vt:lpstr>C_mat</vt:lpstr>
      <vt:lpstr>C_mat_E1</vt:lpstr>
      <vt:lpstr>C_mat_E2</vt:lpstr>
      <vt:lpstr>C_pl</vt:lpstr>
      <vt:lpstr>C_pl_thresh</vt:lpstr>
      <vt:lpstr>C_ps</vt:lpstr>
      <vt:lpstr>C_ps_thresh</vt:lpstr>
      <vt:lpstr>C_s</vt:lpstr>
      <vt:lpstr>C_tool</vt:lpstr>
      <vt:lpstr>C_tool_E1</vt:lpstr>
      <vt:lpstr>C_tool_E2</vt:lpstr>
      <vt:lpstr>E</vt:lpstr>
      <vt:lpstr>ED_mat</vt:lpstr>
      <vt:lpstr>F_Loss</vt:lpstr>
      <vt:lpstr>f_loss_E</vt:lpstr>
      <vt:lpstr>F_loss_ener</vt:lpstr>
      <vt:lpstr>F_loss_energy</vt:lpstr>
      <vt:lpstr>h</vt:lpstr>
      <vt:lpstr>K</vt:lpstr>
      <vt:lpstr>K_th_E2</vt:lpstr>
      <vt:lpstr>L</vt:lpstr>
      <vt:lpstr>loss</vt:lpstr>
      <vt:lpstr>manu_nominal</vt:lpstr>
      <vt:lpstr>manu_th_E1</vt:lpstr>
      <vt:lpstr>manu_th_E2</vt:lpstr>
      <vt:lpstr>material</vt:lpstr>
      <vt:lpstr>N_L</vt:lpstr>
      <vt:lpstr>r_1</vt:lpstr>
      <vt:lpstr>r_2</vt:lpstr>
      <vt:lpstr>rho</vt:lpstr>
      <vt:lpstr>rho_t</vt:lpstr>
      <vt:lpstr>T_1</vt:lpstr>
      <vt:lpstr>T_2</vt:lpstr>
      <vt:lpstr>T_melt</vt:lpstr>
      <vt:lpstr>T_melt_thresh</vt:lpstr>
      <vt:lpstr>t_room</vt:lpstr>
      <vt:lpstr>T_sink</vt:lpstr>
      <vt:lpstr>T_tap</vt:lpstr>
      <vt:lpstr>theta</vt:lpstr>
      <vt:lpstr>V_cast</vt:lpstr>
      <vt:lpstr>V_cham</vt:lpstr>
      <vt:lpstr>V_tot_th</vt:lpstr>
      <vt:lpstr>V_tot_th_E1</vt:lpstr>
      <vt:lpstr>V_tot_th_E2</vt:lpstr>
      <vt:lpstr>w</vt:lpstr>
      <vt:lpstr>W_mat</vt:lpstr>
      <vt:lpstr>W_mat_th_E1</vt:lpstr>
      <vt:lpstr>W_mat_th_E2</vt:lpstr>
      <vt:lpstr>w_nominal</vt:lpstr>
      <vt:lpstr>w_thresh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Khalil</cp:lastModifiedBy>
  <dcterms:created xsi:type="dcterms:W3CDTF">2022-01-03T20:16:17Z</dcterms:created>
  <dcterms:modified xsi:type="dcterms:W3CDTF">2022-06-16T00:48:46Z</dcterms:modified>
</cp:coreProperties>
</file>